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330" windowWidth="16380" windowHeight="7950" tabRatio="427" activeTab="2"/>
  </bookViews>
  <sheets>
    <sheet name="Исходные данные" sheetId="1" r:id="rId1"/>
    <sheet name="Расчет КРП" sheetId="2" r:id="rId2"/>
    <sheet name="Расчет дотации 2025" sheetId="4" r:id="rId3"/>
    <sheet name="Расчет дотации 2026" sheetId="5" r:id="rId4"/>
    <sheet name="Расчет дотации 2027" sheetId="6" r:id="rId5"/>
  </sheets>
  <definedNames>
    <definedName name="___xlfn_COUNTIFS">#N/A</definedName>
    <definedName name="__xlfn_COUNTIFS">NA()</definedName>
    <definedName name="_xlnm._FilterDatabase" localSheetId="2" hidden="1">'Расчет дотации 2025'!#REF!</definedName>
    <definedName name="Excel_BuiltIn__FilterDatabase" localSheetId="2">'Расчет дотации 2025'!#REF!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данные'!$B$9:$I$22</definedName>
    <definedName name="Z_287B6B75_F102_4A35_99B4_72102AA4A344__wvu_FilterData" localSheetId="2">'Расчет дотации 2025'!#REF!</definedName>
    <definedName name="Z_287B6B75_F102_4A35_99B4_72102AA4A344__wvu_PrintArea" localSheetId="0">'Исходные данные'!$B$1:$I$19</definedName>
    <definedName name="Z_287B6B75_F102_4A35_99B4_72102AA4A344__wvu_PrintArea" localSheetId="2">'Расчет дотации 2025'!#REF!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 2025'!$A:$A</definedName>
    <definedName name="_xlnm.Print_Titles" localSheetId="0">'Исходные данные'!$6:$9</definedName>
    <definedName name="_xlnm.Print_Titles" localSheetId="2">'Расчет дотации 2025'!$A:$A</definedName>
    <definedName name="_xlnm.Print_Area" localSheetId="0">'Исходные данные'!$A$1:$J$26</definedName>
    <definedName name="_xlnm.Print_Area" localSheetId="1">'Расчет КРП'!$A$2:$G$21</definedName>
  </definedNames>
  <calcPr calcId="144525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7" i="2"/>
  <c r="E23" i="5" l="1"/>
  <c r="D23" i="5"/>
  <c r="E7" i="2" l="1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G11" i="4"/>
  <c r="J25" i="1" l="1"/>
  <c r="G19" i="2" l="1"/>
  <c r="D25" i="1"/>
  <c r="E25" i="1"/>
  <c r="E23" i="4"/>
  <c r="D23" i="4" l="1"/>
  <c r="H10" i="5" l="1"/>
  <c r="H11" i="5"/>
  <c r="H12" i="5"/>
  <c r="H13" i="5"/>
  <c r="H14" i="5"/>
  <c r="H15" i="5"/>
  <c r="H16" i="5"/>
  <c r="H17" i="5"/>
  <c r="H18" i="5"/>
  <c r="H19" i="5"/>
  <c r="H20" i="5"/>
  <c r="H21" i="5"/>
  <c r="H22" i="5"/>
  <c r="H9" i="5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9" i="4"/>
  <c r="E23" i="6" l="1"/>
  <c r="D23" i="6"/>
  <c r="F23" i="6" s="1"/>
  <c r="H22" i="6"/>
  <c r="G22" i="6"/>
  <c r="I21" i="6"/>
  <c r="H21" i="6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H13" i="6"/>
  <c r="G13" i="6"/>
  <c r="H12" i="6"/>
  <c r="G12" i="6"/>
  <c r="H11" i="6"/>
  <c r="G11" i="6"/>
  <c r="H10" i="6"/>
  <c r="G10" i="6"/>
  <c r="H9" i="6"/>
  <c r="G9" i="6"/>
  <c r="B7" i="6"/>
  <c r="C7" i="6" s="1"/>
  <c r="D7" i="6" s="1"/>
  <c r="E7" i="6" s="1"/>
  <c r="F7" i="6" s="1"/>
  <c r="G7" i="6" s="1"/>
  <c r="H7" i="6" s="1"/>
  <c r="I7" i="6" s="1"/>
  <c r="J7" i="6" s="1"/>
  <c r="K7" i="6" s="1"/>
  <c r="L7" i="6" s="1"/>
  <c r="M7" i="6" s="1"/>
  <c r="N7" i="6" s="1"/>
  <c r="O7" i="6" s="1"/>
  <c r="P7" i="6" s="1"/>
  <c r="Q7" i="6" s="1"/>
  <c r="R7" i="6" s="1"/>
  <c r="S7" i="6" s="1"/>
  <c r="T7" i="6" s="1"/>
  <c r="U7" i="6" s="1"/>
  <c r="V7" i="6" s="1"/>
  <c r="W7" i="6" s="1"/>
  <c r="X7" i="6" s="1"/>
  <c r="Y7" i="6" s="1"/>
  <c r="Z7" i="6" s="1"/>
  <c r="AA7" i="6" s="1"/>
  <c r="AB7" i="6" s="1"/>
  <c r="AC7" i="6" s="1"/>
  <c r="AD7" i="6" s="1"/>
  <c r="AE7" i="6" s="1"/>
  <c r="AF7" i="6" s="1"/>
  <c r="AG7" i="6" s="1"/>
  <c r="AH7" i="6" s="1"/>
  <c r="AI7" i="6" s="1"/>
  <c r="AJ7" i="6" s="1"/>
  <c r="AK7" i="6" s="1"/>
  <c r="AL7" i="6" s="1"/>
  <c r="AM7" i="6" s="1"/>
  <c r="AN7" i="6" s="1"/>
  <c r="AO7" i="6" s="1"/>
  <c r="AP7" i="6" s="1"/>
  <c r="AQ7" i="6" s="1"/>
  <c r="AR7" i="6" s="1"/>
  <c r="AS7" i="6" s="1"/>
  <c r="AT7" i="6" s="1"/>
  <c r="AU7" i="6" s="1"/>
  <c r="AV7" i="6" s="1"/>
  <c r="AW7" i="6" s="1"/>
  <c r="AX7" i="6" s="1"/>
  <c r="AY7" i="6" s="1"/>
  <c r="AZ7" i="6" s="1"/>
  <c r="BA7" i="6" s="1"/>
  <c r="BB7" i="6" s="1"/>
  <c r="BC7" i="6" s="1"/>
  <c r="BD7" i="6" s="1"/>
  <c r="BE7" i="6" s="1"/>
  <c r="BF7" i="6" s="1"/>
  <c r="BG7" i="6" s="1"/>
  <c r="BH7" i="6" s="1"/>
  <c r="BI7" i="6" s="1"/>
  <c r="BJ7" i="6" s="1"/>
  <c r="BK7" i="6" s="1"/>
  <c r="BL7" i="6" s="1"/>
  <c r="BM7" i="6" s="1"/>
  <c r="BN7" i="6" s="1"/>
  <c r="BO7" i="6" s="1"/>
  <c r="BP7" i="6" s="1"/>
  <c r="BQ7" i="6" s="1"/>
  <c r="BR7" i="6" s="1"/>
  <c r="BS7" i="6" s="1"/>
  <c r="BT7" i="6" s="1"/>
  <c r="BU7" i="6" s="1"/>
  <c r="BV7" i="6" s="1"/>
  <c r="BW7" i="6" s="1"/>
  <c r="BX7" i="6" s="1"/>
  <c r="BY7" i="6" s="1"/>
  <c r="BZ7" i="6" s="1"/>
  <c r="CA7" i="6" s="1"/>
  <c r="CB7" i="6" s="1"/>
  <c r="CC7" i="6" s="1"/>
  <c r="CD7" i="6" s="1"/>
  <c r="CE7" i="6" s="1"/>
  <c r="CF7" i="6" s="1"/>
  <c r="CG7" i="6" s="1"/>
  <c r="CH7" i="6" s="1"/>
  <c r="CI7" i="6" s="1"/>
  <c r="CJ7" i="6" s="1"/>
  <c r="CK7" i="6" s="1"/>
  <c r="CL7" i="6" s="1"/>
  <c r="CM7" i="6" s="1"/>
  <c r="CN7" i="6" s="1"/>
  <c r="CO7" i="6" s="1"/>
  <c r="CP7" i="6" s="1"/>
  <c r="CQ7" i="6" s="1"/>
  <c r="CR7" i="6" s="1"/>
  <c r="CS7" i="6" s="1"/>
  <c r="CT7" i="6" s="1"/>
  <c r="CU7" i="6" s="1"/>
  <c r="CV7" i="6" s="1"/>
  <c r="CW7" i="6" s="1"/>
  <c r="CX7" i="6" s="1"/>
  <c r="CY7" i="6" s="1"/>
  <c r="CZ7" i="6" s="1"/>
  <c r="DA7" i="6" s="1"/>
  <c r="DB7" i="6" s="1"/>
  <c r="DC7" i="6" s="1"/>
  <c r="DD7" i="6" s="1"/>
  <c r="DE7" i="6" s="1"/>
  <c r="DF7" i="6" s="1"/>
  <c r="DG7" i="6" s="1"/>
  <c r="DH7" i="6" s="1"/>
  <c r="DI7" i="6" s="1"/>
  <c r="DJ7" i="6" s="1"/>
  <c r="DK7" i="6" s="1"/>
  <c r="DL7" i="6" s="1"/>
  <c r="DM7" i="6" s="1"/>
  <c r="DN7" i="6" s="1"/>
  <c r="DO7" i="6" s="1"/>
  <c r="DP7" i="6" s="1"/>
  <c r="DQ7" i="6" s="1"/>
  <c r="DR7" i="6" s="1"/>
  <c r="DS7" i="6" s="1"/>
  <c r="DT7" i="6" s="1"/>
  <c r="DU7" i="6" s="1"/>
  <c r="DV7" i="6" s="1"/>
  <c r="DW7" i="6" s="1"/>
  <c r="DX7" i="6" s="1"/>
  <c r="DY7" i="6" s="1"/>
  <c r="DZ7" i="6" s="1"/>
  <c r="EA7" i="6" s="1"/>
  <c r="EB7" i="6" s="1"/>
  <c r="EC7" i="6" s="1"/>
  <c r="ED7" i="6" s="1"/>
  <c r="EE7" i="6" s="1"/>
  <c r="EF7" i="6" s="1"/>
  <c r="EG7" i="6" s="1"/>
  <c r="EH7" i="6" s="1"/>
  <c r="EI7" i="6" s="1"/>
  <c r="EJ7" i="6" s="1"/>
  <c r="EK7" i="6" s="1"/>
  <c r="EL7" i="6" s="1"/>
  <c r="EM7" i="6" s="1"/>
  <c r="EN7" i="6" s="1"/>
  <c r="EO7" i="6" s="1"/>
  <c r="EP7" i="6" s="1"/>
  <c r="EQ7" i="6" s="1"/>
  <c r="ER7" i="6" s="1"/>
  <c r="ES7" i="6" s="1"/>
  <c r="ET7" i="6" s="1"/>
  <c r="EU7" i="6" s="1"/>
  <c r="EV7" i="6" s="1"/>
  <c r="EW7" i="6" s="1"/>
  <c r="EX7" i="6" s="1"/>
  <c r="EY7" i="6" s="1"/>
  <c r="EZ7" i="6" s="1"/>
  <c r="FA7" i="6" s="1"/>
  <c r="FB7" i="6" s="1"/>
  <c r="FC7" i="6" s="1"/>
  <c r="FD7" i="6" s="1"/>
  <c r="FE7" i="6" s="1"/>
  <c r="FF7" i="6" s="1"/>
  <c r="FG7" i="6" s="1"/>
  <c r="FH7" i="6" s="1"/>
  <c r="FI7" i="6" s="1"/>
  <c r="FJ7" i="6" s="1"/>
  <c r="FK7" i="6" s="1"/>
  <c r="FL7" i="6" s="1"/>
  <c r="FM7" i="6" s="1"/>
  <c r="FN7" i="6" s="1"/>
  <c r="FO7" i="6" s="1"/>
  <c r="FP7" i="6" s="1"/>
  <c r="FQ7" i="6" s="1"/>
  <c r="FR7" i="6" s="1"/>
  <c r="FS7" i="6" s="1"/>
  <c r="FT7" i="6" s="1"/>
  <c r="FU7" i="6" s="1"/>
  <c r="FV7" i="6" s="1"/>
  <c r="FW7" i="6" s="1"/>
  <c r="FX7" i="6" s="1"/>
  <c r="FY7" i="6" s="1"/>
  <c r="FZ7" i="6" s="1"/>
  <c r="GA7" i="6" s="1"/>
  <c r="GB7" i="6" s="1"/>
  <c r="GC7" i="6" s="1"/>
  <c r="GD7" i="6" s="1"/>
  <c r="GE7" i="6" s="1"/>
  <c r="GF7" i="6" s="1"/>
  <c r="GG7" i="6" s="1"/>
  <c r="GH7" i="6" s="1"/>
  <c r="GI7" i="6" s="1"/>
  <c r="GJ7" i="6" s="1"/>
  <c r="GK7" i="6" s="1"/>
  <c r="GL7" i="6" s="1"/>
  <c r="F23" i="5"/>
  <c r="G22" i="5"/>
  <c r="I21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B7" i="5"/>
  <c r="C7" i="5" s="1"/>
  <c r="D7" i="5" s="1"/>
  <c r="E7" i="5" s="1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AJ7" i="5" s="1"/>
  <c r="AK7" i="5" s="1"/>
  <c r="AL7" i="5" s="1"/>
  <c r="AM7" i="5" s="1"/>
  <c r="AN7" i="5" s="1"/>
  <c r="AO7" i="5" s="1"/>
  <c r="AP7" i="5" s="1"/>
  <c r="AQ7" i="5" s="1"/>
  <c r="AR7" i="5" s="1"/>
  <c r="AS7" i="5" s="1"/>
  <c r="AT7" i="5" s="1"/>
  <c r="AU7" i="5" s="1"/>
  <c r="AV7" i="5" s="1"/>
  <c r="AW7" i="5" s="1"/>
  <c r="AX7" i="5" s="1"/>
  <c r="AY7" i="5" s="1"/>
  <c r="AZ7" i="5" s="1"/>
  <c r="BA7" i="5" s="1"/>
  <c r="BB7" i="5" s="1"/>
  <c r="BC7" i="5" s="1"/>
  <c r="BD7" i="5" s="1"/>
  <c r="BE7" i="5" s="1"/>
  <c r="BF7" i="5" s="1"/>
  <c r="BG7" i="5" s="1"/>
  <c r="BH7" i="5" s="1"/>
  <c r="BI7" i="5" s="1"/>
  <c r="BJ7" i="5" s="1"/>
  <c r="BK7" i="5" s="1"/>
  <c r="BL7" i="5" s="1"/>
  <c r="BM7" i="5" s="1"/>
  <c r="BN7" i="5" s="1"/>
  <c r="BO7" i="5" s="1"/>
  <c r="BP7" i="5" s="1"/>
  <c r="BQ7" i="5" s="1"/>
  <c r="BR7" i="5" s="1"/>
  <c r="BS7" i="5" s="1"/>
  <c r="BT7" i="5" s="1"/>
  <c r="BU7" i="5" s="1"/>
  <c r="BV7" i="5" s="1"/>
  <c r="BW7" i="5" s="1"/>
  <c r="BX7" i="5" s="1"/>
  <c r="BY7" i="5" s="1"/>
  <c r="BZ7" i="5" s="1"/>
  <c r="CA7" i="5" s="1"/>
  <c r="CB7" i="5" s="1"/>
  <c r="CC7" i="5" s="1"/>
  <c r="CD7" i="5" s="1"/>
  <c r="CE7" i="5" s="1"/>
  <c r="CF7" i="5" s="1"/>
  <c r="CG7" i="5" s="1"/>
  <c r="CH7" i="5" s="1"/>
  <c r="CI7" i="5" s="1"/>
  <c r="CJ7" i="5" s="1"/>
  <c r="CK7" i="5" s="1"/>
  <c r="CL7" i="5" s="1"/>
  <c r="CM7" i="5" s="1"/>
  <c r="CN7" i="5" s="1"/>
  <c r="CO7" i="5" s="1"/>
  <c r="CP7" i="5" s="1"/>
  <c r="CQ7" i="5" s="1"/>
  <c r="CR7" i="5" s="1"/>
  <c r="CS7" i="5" s="1"/>
  <c r="CT7" i="5" s="1"/>
  <c r="CU7" i="5" s="1"/>
  <c r="CV7" i="5" s="1"/>
  <c r="CW7" i="5" s="1"/>
  <c r="CX7" i="5" s="1"/>
  <c r="CY7" i="5" s="1"/>
  <c r="CZ7" i="5" s="1"/>
  <c r="DA7" i="5" s="1"/>
  <c r="DB7" i="5" s="1"/>
  <c r="DC7" i="5" s="1"/>
  <c r="DD7" i="5" s="1"/>
  <c r="DE7" i="5" s="1"/>
  <c r="DF7" i="5" s="1"/>
  <c r="DG7" i="5" s="1"/>
  <c r="DH7" i="5" s="1"/>
  <c r="DI7" i="5" s="1"/>
  <c r="DJ7" i="5" s="1"/>
  <c r="DK7" i="5" s="1"/>
  <c r="DL7" i="5" s="1"/>
  <c r="DM7" i="5" s="1"/>
  <c r="DN7" i="5" s="1"/>
  <c r="DO7" i="5" s="1"/>
  <c r="DP7" i="5" s="1"/>
  <c r="DQ7" i="5" s="1"/>
  <c r="DR7" i="5" s="1"/>
  <c r="DS7" i="5" s="1"/>
  <c r="DT7" i="5" s="1"/>
  <c r="DU7" i="5" s="1"/>
  <c r="DV7" i="5" s="1"/>
  <c r="DW7" i="5" s="1"/>
  <c r="DX7" i="5" s="1"/>
  <c r="DY7" i="5" s="1"/>
  <c r="DZ7" i="5" s="1"/>
  <c r="EA7" i="5" s="1"/>
  <c r="EB7" i="5" s="1"/>
  <c r="EC7" i="5" s="1"/>
  <c r="ED7" i="5" s="1"/>
  <c r="EE7" i="5" s="1"/>
  <c r="EF7" i="5" s="1"/>
  <c r="EG7" i="5" s="1"/>
  <c r="EH7" i="5" s="1"/>
  <c r="EI7" i="5" s="1"/>
  <c r="EJ7" i="5" s="1"/>
  <c r="EK7" i="5" s="1"/>
  <c r="EL7" i="5" s="1"/>
  <c r="EM7" i="5" s="1"/>
  <c r="EN7" i="5" s="1"/>
  <c r="EO7" i="5" s="1"/>
  <c r="EP7" i="5" s="1"/>
  <c r="EQ7" i="5" s="1"/>
  <c r="ER7" i="5" s="1"/>
  <c r="ES7" i="5" s="1"/>
  <c r="ET7" i="5" s="1"/>
  <c r="EU7" i="5" s="1"/>
  <c r="EV7" i="5" s="1"/>
  <c r="EW7" i="5" s="1"/>
  <c r="EX7" i="5" s="1"/>
  <c r="EY7" i="5" s="1"/>
  <c r="EZ7" i="5" s="1"/>
  <c r="FA7" i="5" s="1"/>
  <c r="FB7" i="5" s="1"/>
  <c r="FC7" i="5" s="1"/>
  <c r="FD7" i="5" s="1"/>
  <c r="FE7" i="5" s="1"/>
  <c r="FF7" i="5" s="1"/>
  <c r="FG7" i="5" s="1"/>
  <c r="FH7" i="5" s="1"/>
  <c r="FI7" i="5" s="1"/>
  <c r="FJ7" i="5" s="1"/>
  <c r="FK7" i="5" s="1"/>
  <c r="FL7" i="5" s="1"/>
  <c r="FM7" i="5" s="1"/>
  <c r="FN7" i="5" s="1"/>
  <c r="FO7" i="5" s="1"/>
  <c r="FP7" i="5" s="1"/>
  <c r="FQ7" i="5" s="1"/>
  <c r="FR7" i="5" s="1"/>
  <c r="FS7" i="5" s="1"/>
  <c r="FT7" i="5" s="1"/>
  <c r="FU7" i="5" s="1"/>
  <c r="FV7" i="5" s="1"/>
  <c r="FW7" i="5" s="1"/>
  <c r="FX7" i="5" s="1"/>
  <c r="FY7" i="5" s="1"/>
  <c r="FZ7" i="5" s="1"/>
  <c r="GA7" i="5" s="1"/>
  <c r="GB7" i="5" s="1"/>
  <c r="GC7" i="5" s="1"/>
  <c r="GD7" i="5" s="1"/>
  <c r="GE7" i="5" s="1"/>
  <c r="GF7" i="5" s="1"/>
  <c r="GG7" i="5" s="1"/>
  <c r="GH7" i="5" s="1"/>
  <c r="GI7" i="5" s="1"/>
  <c r="GJ7" i="5" s="1"/>
  <c r="GK7" i="5" s="1"/>
  <c r="GL7" i="5" s="1"/>
  <c r="G23" i="6" l="1"/>
  <c r="L11" i="6" s="1"/>
  <c r="H23" i="6"/>
  <c r="G23" i="5"/>
  <c r="L10" i="5" s="1"/>
  <c r="H23" i="5"/>
  <c r="G22" i="4"/>
  <c r="L18" i="6" l="1"/>
  <c r="L19" i="6"/>
  <c r="L15" i="6"/>
  <c r="L20" i="6"/>
  <c r="L22" i="6"/>
  <c r="L12" i="6"/>
  <c r="L10" i="6"/>
  <c r="L21" i="6"/>
  <c r="L13" i="6"/>
  <c r="L9" i="6"/>
  <c r="L9" i="5"/>
  <c r="L16" i="6"/>
  <c r="L17" i="6"/>
  <c r="L14" i="6"/>
  <c r="K21" i="5"/>
  <c r="L22" i="5"/>
  <c r="L19" i="5"/>
  <c r="L20" i="5"/>
  <c r="L12" i="5"/>
  <c r="J23" i="6"/>
  <c r="K21" i="6"/>
  <c r="J23" i="5"/>
  <c r="L21" i="5"/>
  <c r="L11" i="5"/>
  <c r="L18" i="5"/>
  <c r="L16" i="5"/>
  <c r="L14" i="5"/>
  <c r="L17" i="5"/>
  <c r="L13" i="5"/>
  <c r="L15" i="5"/>
  <c r="F25" i="1"/>
  <c r="C25" i="1"/>
  <c r="I21" i="4"/>
  <c r="G10" i="4"/>
  <c r="G12" i="4"/>
  <c r="G13" i="4"/>
  <c r="G14" i="4"/>
  <c r="G15" i="4"/>
  <c r="G16" i="4"/>
  <c r="G17" i="4"/>
  <c r="G18" i="4"/>
  <c r="G19" i="4"/>
  <c r="G20" i="4"/>
  <c r="G21" i="4"/>
  <c r="G18" i="2" l="1"/>
  <c r="G11" i="2"/>
  <c r="G14" i="2"/>
  <c r="G7" i="2"/>
  <c r="G12" i="2"/>
  <c r="G10" i="2"/>
  <c r="G17" i="2"/>
  <c r="G15" i="2"/>
  <c r="G13" i="2"/>
  <c r="G16" i="2"/>
  <c r="G9" i="2"/>
  <c r="G8" i="2"/>
  <c r="G20" i="2"/>
  <c r="L23" i="6"/>
  <c r="M21" i="6"/>
  <c r="M21" i="5"/>
  <c r="L23" i="5"/>
  <c r="I12" i="6" l="1"/>
  <c r="I12" i="5"/>
  <c r="I12" i="4"/>
  <c r="I20" i="6"/>
  <c r="I20" i="5"/>
  <c r="I20" i="4"/>
  <c r="I14" i="6"/>
  <c r="I14" i="5"/>
  <c r="I14" i="4"/>
  <c r="I13" i="5"/>
  <c r="I13" i="6"/>
  <c r="I13" i="4"/>
  <c r="I22" i="6"/>
  <c r="I22" i="5"/>
  <c r="I22" i="4"/>
  <c r="I10" i="6"/>
  <c r="I10" i="5"/>
  <c r="I10" i="4"/>
  <c r="I11" i="5"/>
  <c r="I11" i="6"/>
  <c r="I11" i="4"/>
  <c r="I19" i="5"/>
  <c r="I19" i="6"/>
  <c r="I19" i="4"/>
  <c r="I9" i="5"/>
  <c r="I9" i="6"/>
  <c r="I9" i="4"/>
  <c r="I15" i="5"/>
  <c r="I15" i="6"/>
  <c r="I15" i="4"/>
  <c r="I18" i="6"/>
  <c r="I18" i="5"/>
  <c r="I18" i="4"/>
  <c r="I17" i="5"/>
  <c r="I17" i="6"/>
  <c r="I17" i="4"/>
  <c r="I16" i="6"/>
  <c r="I16" i="5"/>
  <c r="I16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3" i="4" s="1"/>
  <c r="B6" i="2"/>
  <c r="C6" i="2" s="1"/>
  <c r="D6" i="2" s="1"/>
  <c r="K16" i="6" l="1"/>
  <c r="M16" i="6"/>
  <c r="K17" i="5"/>
  <c r="M17" i="5"/>
  <c r="K18" i="6"/>
  <c r="M18" i="6"/>
  <c r="K15" i="5"/>
  <c r="M15" i="5"/>
  <c r="K9" i="5"/>
  <c r="M9" i="5"/>
  <c r="K19" i="5"/>
  <c r="M19" i="5"/>
  <c r="K11" i="5"/>
  <c r="M11" i="5"/>
  <c r="K10" i="6"/>
  <c r="M10" i="6"/>
  <c r="K22" i="6"/>
  <c r="M22" i="6"/>
  <c r="K13" i="5"/>
  <c r="M13" i="5"/>
  <c r="K14" i="6"/>
  <c r="M14" i="6"/>
  <c r="K20" i="6"/>
  <c r="M20" i="6"/>
  <c r="K12" i="6"/>
  <c r="M12" i="6"/>
  <c r="K16" i="5"/>
  <c r="M16" i="5"/>
  <c r="K17" i="6"/>
  <c r="M17" i="6"/>
  <c r="K18" i="5"/>
  <c r="M18" i="5"/>
  <c r="K15" i="6"/>
  <c r="M15" i="6"/>
  <c r="K9" i="6"/>
  <c r="M9" i="6"/>
  <c r="K19" i="6"/>
  <c r="M19" i="6"/>
  <c r="K11" i="6"/>
  <c r="M11" i="6"/>
  <c r="K10" i="5"/>
  <c r="M10" i="5"/>
  <c r="K22" i="5"/>
  <c r="M22" i="5"/>
  <c r="K13" i="6"/>
  <c r="M13" i="6"/>
  <c r="K14" i="5"/>
  <c r="M14" i="5"/>
  <c r="K20" i="5"/>
  <c r="M20" i="5"/>
  <c r="K12" i="5"/>
  <c r="M12" i="5"/>
  <c r="H23" i="4"/>
  <c r="K22" i="4" s="1"/>
  <c r="L7" i="4"/>
  <c r="G6" i="2"/>
  <c r="N23" i="6" l="1"/>
  <c r="N23" i="5"/>
  <c r="M7" i="4"/>
  <c r="N7" i="4" s="1"/>
  <c r="O7" i="4" s="1"/>
  <c r="P7" i="4" s="1"/>
  <c r="Q7" i="4" s="1"/>
  <c r="R7" i="4" s="1"/>
  <c r="S7" i="4" s="1"/>
  <c r="J23" i="4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O15" i="5" l="1"/>
  <c r="P15" i="5" s="1"/>
  <c r="O17" i="5"/>
  <c r="P17" i="5" s="1"/>
  <c r="O18" i="5"/>
  <c r="P18" i="5" s="1"/>
  <c r="O16" i="5"/>
  <c r="P16" i="5" s="1"/>
  <c r="O9" i="5"/>
  <c r="P9" i="5" s="1"/>
  <c r="O11" i="5"/>
  <c r="P11" i="5" s="1"/>
  <c r="O10" i="5"/>
  <c r="P10" i="5" s="1"/>
  <c r="O20" i="5"/>
  <c r="P20" i="5" s="1"/>
  <c r="O12" i="5"/>
  <c r="P12" i="5" s="1"/>
  <c r="O13" i="5"/>
  <c r="P13" i="5" s="1"/>
  <c r="O21" i="5"/>
  <c r="P21" i="5" s="1"/>
  <c r="O19" i="5"/>
  <c r="P19" i="5" s="1"/>
  <c r="O22" i="5"/>
  <c r="P22" i="5" s="1"/>
  <c r="O14" i="5"/>
  <c r="P14" i="5" s="1"/>
  <c r="O21" i="6"/>
  <c r="P21" i="6" s="1"/>
  <c r="O13" i="6"/>
  <c r="P13" i="6" s="1"/>
  <c r="O17" i="6"/>
  <c r="P17" i="6" s="1"/>
  <c r="O10" i="6"/>
  <c r="P10" i="6" s="1"/>
  <c r="O20" i="6"/>
  <c r="P20" i="6" s="1"/>
  <c r="O15" i="6"/>
  <c r="P15" i="6" s="1"/>
  <c r="O18" i="6"/>
  <c r="P18" i="6" s="1"/>
  <c r="O16" i="6"/>
  <c r="P16" i="6" s="1"/>
  <c r="O14" i="6"/>
  <c r="P14" i="6" s="1"/>
  <c r="O22" i="6"/>
  <c r="P22" i="6" s="1"/>
  <c r="O11" i="6"/>
  <c r="P11" i="6" s="1"/>
  <c r="O19" i="6"/>
  <c r="P19" i="6" s="1"/>
  <c r="O12" i="6"/>
  <c r="P12" i="6" s="1"/>
  <c r="O9" i="6"/>
  <c r="P9" i="6" s="1"/>
  <c r="T7" i="4"/>
  <c r="U7" i="4" s="1"/>
  <c r="V7" i="4" s="1"/>
  <c r="W7" i="4" s="1"/>
  <c r="X7" i="4" s="1"/>
  <c r="Y7" i="4" s="1"/>
  <c r="P23" i="6" l="1"/>
  <c r="Q19" i="6" s="1"/>
  <c r="T19" i="6" s="1"/>
  <c r="P23" i="5"/>
  <c r="Z7" i="4"/>
  <c r="AA7" i="4" s="1"/>
  <c r="AB7" i="4" s="1"/>
  <c r="AC7" i="4" s="1"/>
  <c r="AD7" i="4" s="1"/>
  <c r="AE7" i="4" s="1"/>
  <c r="Q18" i="6" l="1"/>
  <c r="T18" i="6" s="1"/>
  <c r="Q9" i="6"/>
  <c r="T9" i="6" s="1"/>
  <c r="Q16" i="6"/>
  <c r="T16" i="6" s="1"/>
  <c r="Q12" i="6"/>
  <c r="T12" i="6" s="1"/>
  <c r="Q10" i="6"/>
  <c r="T10" i="6" s="1"/>
  <c r="Q20" i="6"/>
  <c r="T20" i="6" s="1"/>
  <c r="Q14" i="6"/>
  <c r="T14" i="6" s="1"/>
  <c r="Q13" i="6"/>
  <c r="T13" i="6" s="1"/>
  <c r="Q21" i="6"/>
  <c r="T21" i="6" s="1"/>
  <c r="Q11" i="6"/>
  <c r="T11" i="6" s="1"/>
  <c r="Q17" i="6"/>
  <c r="T17" i="6" s="1"/>
  <c r="Q22" i="6"/>
  <c r="T22" i="6" s="1"/>
  <c r="Q15" i="6"/>
  <c r="T15" i="6" s="1"/>
  <c r="Q21" i="5"/>
  <c r="T21" i="5" s="1"/>
  <c r="Q14" i="5"/>
  <c r="T14" i="5" s="1"/>
  <c r="Q11" i="5"/>
  <c r="T11" i="5" s="1"/>
  <c r="Q19" i="5"/>
  <c r="T19" i="5" s="1"/>
  <c r="Q15" i="5"/>
  <c r="T15" i="5" s="1"/>
  <c r="Q13" i="5"/>
  <c r="T13" i="5" s="1"/>
  <c r="Q9" i="5"/>
  <c r="Q22" i="5"/>
  <c r="T22" i="5" s="1"/>
  <c r="Q18" i="5"/>
  <c r="T18" i="5" s="1"/>
  <c r="Q12" i="5"/>
  <c r="T12" i="5" s="1"/>
  <c r="Q17" i="5"/>
  <c r="T17" i="5" s="1"/>
  <c r="Q10" i="5"/>
  <c r="T10" i="5" s="1"/>
  <c r="Q20" i="5"/>
  <c r="T20" i="5" s="1"/>
  <c r="Q16" i="5"/>
  <c r="T16" i="5" s="1"/>
  <c r="AF7" i="4"/>
  <c r="AG7" i="4" s="1"/>
  <c r="AH7" i="4" s="1"/>
  <c r="AI7" i="4" s="1"/>
  <c r="AJ7" i="4" s="1"/>
  <c r="AK7" i="4" s="1"/>
  <c r="S23" i="6" l="1"/>
  <c r="U14" i="6" s="1"/>
  <c r="Q23" i="6"/>
  <c r="R23" i="6" s="1"/>
  <c r="T9" i="5"/>
  <c r="S23" i="5" s="1"/>
  <c r="Q23" i="5"/>
  <c r="R23" i="5" s="1"/>
  <c r="AL7" i="4"/>
  <c r="AM7" i="4" s="1"/>
  <c r="AN7" i="4" s="1"/>
  <c r="AO7" i="4" s="1"/>
  <c r="AP7" i="4" s="1"/>
  <c r="AQ7" i="4" s="1"/>
  <c r="V14" i="6" l="1"/>
  <c r="U21" i="6"/>
  <c r="V21" i="6" s="1"/>
  <c r="U20" i="6"/>
  <c r="V20" i="6" s="1"/>
  <c r="U13" i="6"/>
  <c r="V13" i="6" s="1"/>
  <c r="U12" i="6"/>
  <c r="V12" i="6" s="1"/>
  <c r="U17" i="6"/>
  <c r="V17" i="6" s="1"/>
  <c r="U22" i="6"/>
  <c r="V22" i="6" s="1"/>
  <c r="U19" i="6"/>
  <c r="V19" i="6" s="1"/>
  <c r="U18" i="6"/>
  <c r="V18" i="6" s="1"/>
  <c r="U11" i="6"/>
  <c r="V11" i="6" s="1"/>
  <c r="U15" i="6"/>
  <c r="V15" i="6" s="1"/>
  <c r="U9" i="6"/>
  <c r="V9" i="6" s="1"/>
  <c r="U10" i="6"/>
  <c r="V10" i="6" s="1"/>
  <c r="U16" i="6"/>
  <c r="V16" i="6" s="1"/>
  <c r="U17" i="5"/>
  <c r="V17" i="5" s="1"/>
  <c r="U14" i="5"/>
  <c r="V14" i="5" s="1"/>
  <c r="U13" i="5"/>
  <c r="V13" i="5" s="1"/>
  <c r="U19" i="5"/>
  <c r="V19" i="5" s="1"/>
  <c r="U21" i="5"/>
  <c r="V21" i="5" s="1"/>
  <c r="U12" i="5"/>
  <c r="V12" i="5" s="1"/>
  <c r="U15" i="5"/>
  <c r="V15" i="5" s="1"/>
  <c r="U16" i="5"/>
  <c r="V16" i="5" s="1"/>
  <c r="U18" i="5"/>
  <c r="V18" i="5" s="1"/>
  <c r="U20" i="5"/>
  <c r="V20" i="5" s="1"/>
  <c r="U22" i="5"/>
  <c r="V22" i="5" s="1"/>
  <c r="U11" i="5"/>
  <c r="V11" i="5" s="1"/>
  <c r="U10" i="5"/>
  <c r="V10" i="5" s="1"/>
  <c r="U9" i="5"/>
  <c r="V9" i="5" s="1"/>
  <c r="AR7" i="4"/>
  <c r="AS7" i="4" s="1"/>
  <c r="AT7" i="4" s="1"/>
  <c r="AU7" i="4" s="1"/>
  <c r="AV7" i="4" s="1"/>
  <c r="AW7" i="4" s="1"/>
  <c r="V23" i="6" l="1"/>
  <c r="W19" i="6" s="1"/>
  <c r="Z19" i="6" s="1"/>
  <c r="V23" i="5"/>
  <c r="W21" i="5" s="1"/>
  <c r="Z21" i="5" s="1"/>
  <c r="AX7" i="4"/>
  <c r="AY7" i="4" s="1"/>
  <c r="AZ7" i="4" s="1"/>
  <c r="BA7" i="4" s="1"/>
  <c r="BB7" i="4" s="1"/>
  <c r="BC7" i="4" s="1"/>
  <c r="W13" i="6" l="1"/>
  <c r="Z13" i="6" s="1"/>
  <c r="W17" i="6"/>
  <c r="Z17" i="6" s="1"/>
  <c r="W11" i="6"/>
  <c r="Z11" i="6" s="1"/>
  <c r="W12" i="6"/>
  <c r="Z12" i="6" s="1"/>
  <c r="W20" i="6"/>
  <c r="Z20" i="6" s="1"/>
  <c r="W16" i="6"/>
  <c r="Z16" i="6" s="1"/>
  <c r="W15" i="6"/>
  <c r="Z15" i="6" s="1"/>
  <c r="W14" i="6"/>
  <c r="Z14" i="6" s="1"/>
  <c r="W21" i="6"/>
  <c r="Z21" i="6" s="1"/>
  <c r="W22" i="6"/>
  <c r="Z22" i="6" s="1"/>
  <c r="W10" i="6"/>
  <c r="Z10" i="6" s="1"/>
  <c r="W9" i="6"/>
  <c r="W18" i="6"/>
  <c r="Z18" i="6" s="1"/>
  <c r="W17" i="5"/>
  <c r="Z17" i="5" s="1"/>
  <c r="W10" i="5"/>
  <c r="Z10" i="5" s="1"/>
  <c r="W13" i="5"/>
  <c r="Z13" i="5" s="1"/>
  <c r="W18" i="5"/>
  <c r="Z18" i="5" s="1"/>
  <c r="W15" i="5"/>
  <c r="Z15" i="5" s="1"/>
  <c r="W12" i="5"/>
  <c r="Z12" i="5" s="1"/>
  <c r="W19" i="5"/>
  <c r="Z19" i="5" s="1"/>
  <c r="W16" i="5"/>
  <c r="Z16" i="5" s="1"/>
  <c r="W11" i="5"/>
  <c r="Z11" i="5" s="1"/>
  <c r="W22" i="5"/>
  <c r="Z22" i="5" s="1"/>
  <c r="W9" i="5"/>
  <c r="Z9" i="5" s="1"/>
  <c r="W20" i="5"/>
  <c r="Z20" i="5" s="1"/>
  <c r="W14" i="5"/>
  <c r="Z14" i="5" s="1"/>
  <c r="BD7" i="4"/>
  <c r="BE7" i="4" s="1"/>
  <c r="BF7" i="4" s="1"/>
  <c r="BG7" i="4" s="1"/>
  <c r="BH7" i="4" s="1"/>
  <c r="BI7" i="4" s="1"/>
  <c r="Z9" i="6" l="1"/>
  <c r="Y23" i="6" s="1"/>
  <c r="AA9" i="6" s="1"/>
  <c r="W23" i="6"/>
  <c r="X23" i="6" s="1"/>
  <c r="Y23" i="5"/>
  <c r="W23" i="5"/>
  <c r="X23" i="5" s="1"/>
  <c r="BJ7" i="4"/>
  <c r="BK7" i="4" s="1"/>
  <c r="BL7" i="4" s="1"/>
  <c r="BM7" i="4" s="1"/>
  <c r="BN7" i="4" s="1"/>
  <c r="BO7" i="4" s="1"/>
  <c r="AB9" i="6" l="1"/>
  <c r="AA22" i="6"/>
  <c r="AB22" i="6" s="1"/>
  <c r="AA14" i="6"/>
  <c r="AB14" i="6" s="1"/>
  <c r="AA11" i="6"/>
  <c r="AB11" i="6" s="1"/>
  <c r="AA21" i="6"/>
  <c r="AB21" i="6" s="1"/>
  <c r="AA16" i="6"/>
  <c r="AB16" i="6" s="1"/>
  <c r="AA15" i="6"/>
  <c r="AB15" i="6" s="1"/>
  <c r="AA20" i="6"/>
  <c r="AB20" i="6" s="1"/>
  <c r="AA18" i="6"/>
  <c r="AB18" i="6" s="1"/>
  <c r="AA12" i="6"/>
  <c r="AB12" i="6" s="1"/>
  <c r="AA17" i="6"/>
  <c r="AB17" i="6" s="1"/>
  <c r="AA13" i="6"/>
  <c r="AB13" i="6" s="1"/>
  <c r="AA19" i="6"/>
  <c r="AB19" i="6" s="1"/>
  <c r="AA10" i="6"/>
  <c r="AB10" i="6" s="1"/>
  <c r="AA21" i="5"/>
  <c r="AB21" i="5" s="1"/>
  <c r="AA16" i="5"/>
  <c r="AB16" i="5" s="1"/>
  <c r="AA12" i="5"/>
  <c r="AB12" i="5" s="1"/>
  <c r="AA15" i="5"/>
  <c r="AB15" i="5" s="1"/>
  <c r="AA19" i="5"/>
  <c r="AB19" i="5" s="1"/>
  <c r="AA22" i="5"/>
  <c r="AB22" i="5" s="1"/>
  <c r="AA11" i="5"/>
  <c r="AB11" i="5" s="1"/>
  <c r="AA9" i="5"/>
  <c r="AB9" i="5" s="1"/>
  <c r="AA17" i="5"/>
  <c r="AB17" i="5" s="1"/>
  <c r="AA13" i="5"/>
  <c r="AB13" i="5" s="1"/>
  <c r="AA14" i="5"/>
  <c r="AB14" i="5" s="1"/>
  <c r="AA10" i="5"/>
  <c r="AB10" i="5" s="1"/>
  <c r="AA18" i="5"/>
  <c r="AB18" i="5" s="1"/>
  <c r="AA20" i="5"/>
  <c r="AB20" i="5" s="1"/>
  <c r="BP7" i="4"/>
  <c r="BQ7" i="4" s="1"/>
  <c r="BR7" i="4" s="1"/>
  <c r="BS7" i="4" s="1"/>
  <c r="AB23" i="6" l="1"/>
  <c r="AC15" i="6" s="1"/>
  <c r="AF15" i="6" s="1"/>
  <c r="AB23" i="5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AC9" i="6" l="1"/>
  <c r="AF9" i="6" s="1"/>
  <c r="AC11" i="6"/>
  <c r="AF11" i="6" s="1"/>
  <c r="AC21" i="6"/>
  <c r="AF21" i="6" s="1"/>
  <c r="AC18" i="6"/>
  <c r="AF18" i="6" s="1"/>
  <c r="AC14" i="6"/>
  <c r="AF14" i="6" s="1"/>
  <c r="AC13" i="6"/>
  <c r="AF13" i="6" s="1"/>
  <c r="AC16" i="6"/>
  <c r="AF16" i="6" s="1"/>
  <c r="AC19" i="6"/>
  <c r="AF19" i="6" s="1"/>
  <c r="AC17" i="6"/>
  <c r="AF17" i="6" s="1"/>
  <c r="AC10" i="6"/>
  <c r="AF10" i="6" s="1"/>
  <c r="AC22" i="6"/>
  <c r="AF22" i="6" s="1"/>
  <c r="AC12" i="6"/>
  <c r="AF12" i="6" s="1"/>
  <c r="AC20" i="6"/>
  <c r="AF20" i="6" s="1"/>
  <c r="AC14" i="5"/>
  <c r="AF14" i="5" s="1"/>
  <c r="AC20" i="5"/>
  <c r="AF20" i="5" s="1"/>
  <c r="AC22" i="5"/>
  <c r="AF22" i="5" s="1"/>
  <c r="AC18" i="5"/>
  <c r="AF18" i="5" s="1"/>
  <c r="AC15" i="5"/>
  <c r="AF15" i="5" s="1"/>
  <c r="AC12" i="5"/>
  <c r="AF12" i="5" s="1"/>
  <c r="AC16" i="5"/>
  <c r="AF16" i="5" s="1"/>
  <c r="AC11" i="5"/>
  <c r="AF11" i="5" s="1"/>
  <c r="AC9" i="5"/>
  <c r="AC10" i="5"/>
  <c r="AF10" i="5" s="1"/>
  <c r="AC17" i="5"/>
  <c r="AF17" i="5" s="1"/>
  <c r="AC19" i="5"/>
  <c r="AF19" i="5" s="1"/>
  <c r="AC21" i="5"/>
  <c r="AF21" i="5" s="1"/>
  <c r="AC13" i="5"/>
  <c r="AF13" i="5" s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AC23" i="6" l="1"/>
  <c r="AD23" i="6" s="1"/>
  <c r="AE23" i="6"/>
  <c r="AG14" i="6" s="1"/>
  <c r="AF9" i="5"/>
  <c r="AE23" i="5" s="1"/>
  <c r="AC23" i="5"/>
  <c r="AD23" i="5" s="1"/>
  <c r="AG21" i="6" l="1"/>
  <c r="AH21" i="6" s="1"/>
  <c r="AG18" i="6"/>
  <c r="AH18" i="6" s="1"/>
  <c r="AG11" i="6"/>
  <c r="AH11" i="6" s="1"/>
  <c r="AG17" i="6"/>
  <c r="AH17" i="6" s="1"/>
  <c r="AG22" i="6"/>
  <c r="AH22" i="6" s="1"/>
  <c r="AG15" i="6"/>
  <c r="AH15" i="6" s="1"/>
  <c r="AG19" i="6"/>
  <c r="AH19" i="6" s="1"/>
  <c r="AG10" i="6"/>
  <c r="AH10" i="6" s="1"/>
  <c r="AG20" i="6"/>
  <c r="AH20" i="6" s="1"/>
  <c r="AG12" i="6"/>
  <c r="AH12" i="6" s="1"/>
  <c r="AG13" i="6"/>
  <c r="AH13" i="6" s="1"/>
  <c r="AG16" i="6"/>
  <c r="AH16" i="6" s="1"/>
  <c r="AG9" i="6"/>
  <c r="AH9" i="6" s="1"/>
  <c r="AH14" i="6"/>
  <c r="AG21" i="5"/>
  <c r="AH21" i="5" s="1"/>
  <c r="AG13" i="5"/>
  <c r="AH13" i="5" s="1"/>
  <c r="AG17" i="5"/>
  <c r="AH17" i="5" s="1"/>
  <c r="AG9" i="5"/>
  <c r="AH9" i="5" s="1"/>
  <c r="AG20" i="5"/>
  <c r="AH20" i="5" s="1"/>
  <c r="AG16" i="5"/>
  <c r="AH16" i="5" s="1"/>
  <c r="AG15" i="5"/>
  <c r="AH15" i="5" s="1"/>
  <c r="AG10" i="5"/>
  <c r="AH10" i="5" s="1"/>
  <c r="AG11" i="5"/>
  <c r="AH11" i="5" s="1"/>
  <c r="AG12" i="5"/>
  <c r="AH12" i="5" s="1"/>
  <c r="AG14" i="5"/>
  <c r="AH14" i="5" s="1"/>
  <c r="AG22" i="5"/>
  <c r="AH22" i="5" s="1"/>
  <c r="AG19" i="5"/>
  <c r="AH19" i="5" s="1"/>
  <c r="AG18" i="5"/>
  <c r="AH18" i="5" s="1"/>
  <c r="AH23" i="6" l="1"/>
  <c r="AI12" i="6" s="1"/>
  <c r="AL12" i="6" s="1"/>
  <c r="AH23" i="5"/>
  <c r="AI22" i="6" l="1"/>
  <c r="AL22" i="6" s="1"/>
  <c r="AI15" i="6"/>
  <c r="AL15" i="6" s="1"/>
  <c r="AI10" i="6"/>
  <c r="AL10" i="6" s="1"/>
  <c r="AI9" i="6"/>
  <c r="AL9" i="6" s="1"/>
  <c r="AI20" i="6"/>
  <c r="AL20" i="6" s="1"/>
  <c r="AI21" i="6"/>
  <c r="AL21" i="6" s="1"/>
  <c r="AI14" i="6"/>
  <c r="AL14" i="6" s="1"/>
  <c r="AI19" i="6"/>
  <c r="AL19" i="6" s="1"/>
  <c r="AI11" i="6"/>
  <c r="AL11" i="6" s="1"/>
  <c r="AI13" i="6"/>
  <c r="AL13" i="6" s="1"/>
  <c r="AI17" i="6"/>
  <c r="AL17" i="6" s="1"/>
  <c r="AI18" i="6"/>
  <c r="AL18" i="6" s="1"/>
  <c r="AI16" i="6"/>
  <c r="AL16" i="6" s="1"/>
  <c r="AI16" i="5"/>
  <c r="AL16" i="5" s="1"/>
  <c r="AI13" i="5"/>
  <c r="AL13" i="5" s="1"/>
  <c r="AI21" i="5"/>
  <c r="AL21" i="5" s="1"/>
  <c r="AI19" i="5"/>
  <c r="AL19" i="5" s="1"/>
  <c r="AI14" i="5"/>
  <c r="AL14" i="5" s="1"/>
  <c r="AI18" i="5"/>
  <c r="AL18" i="5" s="1"/>
  <c r="AI11" i="5"/>
  <c r="AL11" i="5" s="1"/>
  <c r="AI9" i="5"/>
  <c r="AI22" i="5"/>
  <c r="AL22" i="5" s="1"/>
  <c r="AI20" i="5"/>
  <c r="AL20" i="5" s="1"/>
  <c r="AI12" i="5"/>
  <c r="AL12" i="5" s="1"/>
  <c r="AI15" i="5"/>
  <c r="AL15" i="5" s="1"/>
  <c r="AI17" i="5"/>
  <c r="AL17" i="5" s="1"/>
  <c r="AI10" i="5"/>
  <c r="AL10" i="5" s="1"/>
  <c r="AK23" i="6" l="1"/>
  <c r="AM19" i="6" s="1"/>
  <c r="AI23" i="6"/>
  <c r="AJ23" i="6" s="1"/>
  <c r="AL9" i="5"/>
  <c r="AK23" i="5" s="1"/>
  <c r="AI23" i="5"/>
  <c r="AJ23" i="5" s="1"/>
  <c r="AN19" i="6" l="1"/>
  <c r="AM9" i="6"/>
  <c r="AN9" i="6" s="1"/>
  <c r="AM14" i="6"/>
  <c r="AN14" i="6" s="1"/>
  <c r="AM13" i="6"/>
  <c r="AN13" i="6" s="1"/>
  <c r="AM15" i="6"/>
  <c r="AN15" i="6" s="1"/>
  <c r="AM18" i="6"/>
  <c r="AN18" i="6" s="1"/>
  <c r="AM22" i="6"/>
  <c r="AN22" i="6" s="1"/>
  <c r="AM12" i="6"/>
  <c r="AN12" i="6" s="1"/>
  <c r="AM11" i="6"/>
  <c r="AN11" i="6" s="1"/>
  <c r="AM17" i="6"/>
  <c r="AN17" i="6" s="1"/>
  <c r="AM10" i="6"/>
  <c r="AN10" i="6" s="1"/>
  <c r="AM20" i="6"/>
  <c r="AN20" i="6" s="1"/>
  <c r="AM16" i="6"/>
  <c r="AN16" i="6" s="1"/>
  <c r="AM21" i="6"/>
  <c r="AN21" i="6" s="1"/>
  <c r="AM19" i="5"/>
  <c r="AN19" i="5" s="1"/>
  <c r="AM12" i="5"/>
  <c r="AN12" i="5" s="1"/>
  <c r="AM14" i="5"/>
  <c r="AN14" i="5" s="1"/>
  <c r="AM16" i="5"/>
  <c r="AN16" i="5" s="1"/>
  <c r="AM20" i="5"/>
  <c r="AN20" i="5" s="1"/>
  <c r="AM11" i="5"/>
  <c r="AN11" i="5" s="1"/>
  <c r="AM13" i="5"/>
  <c r="AN13" i="5" s="1"/>
  <c r="AM18" i="5"/>
  <c r="AN18" i="5" s="1"/>
  <c r="AM15" i="5"/>
  <c r="AN15" i="5" s="1"/>
  <c r="AM22" i="5"/>
  <c r="AN22" i="5" s="1"/>
  <c r="AM21" i="5"/>
  <c r="AN21" i="5" s="1"/>
  <c r="AM10" i="5"/>
  <c r="AN10" i="5" s="1"/>
  <c r="AM17" i="5"/>
  <c r="AN17" i="5" s="1"/>
  <c r="AM9" i="5"/>
  <c r="AN9" i="5" s="1"/>
  <c r="AN23" i="6" l="1"/>
  <c r="AO12" i="6" s="1"/>
  <c r="AR12" i="6" s="1"/>
  <c r="AN23" i="5"/>
  <c r="AO19" i="6" l="1"/>
  <c r="AR19" i="6" s="1"/>
  <c r="AO13" i="6"/>
  <c r="AR13" i="6" s="1"/>
  <c r="AO10" i="6"/>
  <c r="AR10" i="6" s="1"/>
  <c r="AO14" i="6"/>
  <c r="AR14" i="6" s="1"/>
  <c r="AO17" i="6"/>
  <c r="AR17" i="6" s="1"/>
  <c r="AO18" i="6"/>
  <c r="AR18" i="6" s="1"/>
  <c r="AO21" i="6"/>
  <c r="AR21" i="6" s="1"/>
  <c r="AO20" i="6"/>
  <c r="AR20" i="6" s="1"/>
  <c r="AO22" i="6"/>
  <c r="AR22" i="6" s="1"/>
  <c r="AO9" i="6"/>
  <c r="AR9" i="6" s="1"/>
  <c r="AO15" i="6"/>
  <c r="AR15" i="6" s="1"/>
  <c r="AO16" i="6"/>
  <c r="AR16" i="6" s="1"/>
  <c r="AO11" i="6"/>
  <c r="AR11" i="6" s="1"/>
  <c r="AO11" i="5"/>
  <c r="AR11" i="5" s="1"/>
  <c r="AO17" i="5"/>
  <c r="AR17" i="5" s="1"/>
  <c r="AO12" i="5"/>
  <c r="AR12" i="5" s="1"/>
  <c r="AO16" i="5"/>
  <c r="AR16" i="5" s="1"/>
  <c r="AO9" i="5"/>
  <c r="AO10" i="5"/>
  <c r="AR10" i="5" s="1"/>
  <c r="AO13" i="5"/>
  <c r="AR13" i="5" s="1"/>
  <c r="AO20" i="5"/>
  <c r="AR20" i="5" s="1"/>
  <c r="AO14" i="5"/>
  <c r="AR14" i="5" s="1"/>
  <c r="AO19" i="5"/>
  <c r="AR19" i="5" s="1"/>
  <c r="AO18" i="5"/>
  <c r="AR18" i="5" s="1"/>
  <c r="AO22" i="5"/>
  <c r="AR22" i="5" s="1"/>
  <c r="AO21" i="5"/>
  <c r="AR21" i="5" s="1"/>
  <c r="AO15" i="5"/>
  <c r="AR15" i="5" s="1"/>
  <c r="AO23" i="6" l="1"/>
  <c r="AP23" i="6" s="1"/>
  <c r="AQ23" i="6"/>
  <c r="AS14" i="6" s="1"/>
  <c r="AR9" i="5"/>
  <c r="AQ23" i="5" s="1"/>
  <c r="AO23" i="5"/>
  <c r="AP23" i="5" s="1"/>
  <c r="AT14" i="6" l="1"/>
  <c r="AS17" i="6"/>
  <c r="AT17" i="6" s="1"/>
  <c r="AS15" i="6"/>
  <c r="AT15" i="6" s="1"/>
  <c r="AS9" i="6"/>
  <c r="AT9" i="6" s="1"/>
  <c r="AS19" i="6"/>
  <c r="AT19" i="6" s="1"/>
  <c r="AS10" i="6"/>
  <c r="AT10" i="6" s="1"/>
  <c r="AS11" i="6"/>
  <c r="AT11" i="6" s="1"/>
  <c r="AS22" i="6"/>
  <c r="AT22" i="6" s="1"/>
  <c r="AS12" i="6"/>
  <c r="AT12" i="6" s="1"/>
  <c r="AS13" i="6"/>
  <c r="AT13" i="6" s="1"/>
  <c r="AS21" i="6"/>
  <c r="AT21" i="6" s="1"/>
  <c r="AS18" i="6"/>
  <c r="AT18" i="6" s="1"/>
  <c r="AS20" i="6"/>
  <c r="AT20" i="6" s="1"/>
  <c r="AS16" i="6"/>
  <c r="AT16" i="6" s="1"/>
  <c r="AS20" i="5"/>
  <c r="AT20" i="5" s="1"/>
  <c r="AS13" i="5"/>
  <c r="AT13" i="5" s="1"/>
  <c r="AS14" i="5"/>
  <c r="AT14" i="5" s="1"/>
  <c r="AS19" i="5"/>
  <c r="AT19" i="5" s="1"/>
  <c r="AS22" i="5"/>
  <c r="AT22" i="5" s="1"/>
  <c r="AS12" i="5"/>
  <c r="AT12" i="5" s="1"/>
  <c r="AS21" i="5"/>
  <c r="AT21" i="5" s="1"/>
  <c r="AS11" i="5"/>
  <c r="AT11" i="5" s="1"/>
  <c r="AS9" i="5"/>
  <c r="AT9" i="5" s="1"/>
  <c r="AS15" i="5"/>
  <c r="AT15" i="5" s="1"/>
  <c r="AS16" i="5"/>
  <c r="AT16" i="5" s="1"/>
  <c r="AS17" i="5"/>
  <c r="AT17" i="5" s="1"/>
  <c r="AS18" i="5"/>
  <c r="AT18" i="5" s="1"/>
  <c r="AS10" i="5"/>
  <c r="AT10" i="5" s="1"/>
  <c r="AT23" i="6" l="1"/>
  <c r="AU13" i="6" s="1"/>
  <c r="AT23" i="5"/>
  <c r="AU10" i="6" l="1"/>
  <c r="AX10" i="6" s="1"/>
  <c r="AU17" i="6"/>
  <c r="AX17" i="6" s="1"/>
  <c r="AU11" i="6"/>
  <c r="AX11" i="6" s="1"/>
  <c r="AU18" i="6"/>
  <c r="AX18" i="6" s="1"/>
  <c r="AU20" i="6"/>
  <c r="AX20" i="6" s="1"/>
  <c r="AU21" i="6"/>
  <c r="AX21" i="6" s="1"/>
  <c r="AU15" i="6"/>
  <c r="AX15" i="6" s="1"/>
  <c r="AU9" i="6"/>
  <c r="AX9" i="6" s="1"/>
  <c r="AU14" i="6"/>
  <c r="AX14" i="6" s="1"/>
  <c r="AU22" i="6"/>
  <c r="AX22" i="6" s="1"/>
  <c r="AU16" i="6"/>
  <c r="AX16" i="6" s="1"/>
  <c r="AU12" i="6"/>
  <c r="AX12" i="6" s="1"/>
  <c r="AU19" i="6"/>
  <c r="AX19" i="6" s="1"/>
  <c r="AX13" i="6"/>
  <c r="AU22" i="5"/>
  <c r="AX22" i="5" s="1"/>
  <c r="AU19" i="5"/>
  <c r="AX19" i="5" s="1"/>
  <c r="AU15" i="5"/>
  <c r="AX15" i="5" s="1"/>
  <c r="AU14" i="5"/>
  <c r="AX14" i="5" s="1"/>
  <c r="AU12" i="5"/>
  <c r="AX12" i="5" s="1"/>
  <c r="AU18" i="5"/>
  <c r="AX18" i="5" s="1"/>
  <c r="AU11" i="5"/>
  <c r="AX11" i="5" s="1"/>
  <c r="AU13" i="5"/>
  <c r="AX13" i="5" s="1"/>
  <c r="AU10" i="5"/>
  <c r="AX10" i="5" s="1"/>
  <c r="AU17" i="5"/>
  <c r="AX17" i="5" s="1"/>
  <c r="AU16" i="5"/>
  <c r="AX16" i="5" s="1"/>
  <c r="AU21" i="5"/>
  <c r="AX21" i="5" s="1"/>
  <c r="AU9" i="5"/>
  <c r="AU20" i="5"/>
  <c r="AX20" i="5" s="1"/>
  <c r="AW23" i="6" l="1"/>
  <c r="AY14" i="6" s="1"/>
  <c r="AU23" i="6"/>
  <c r="AV23" i="6" s="1"/>
  <c r="AX9" i="5"/>
  <c r="AW23" i="5" s="1"/>
  <c r="AU23" i="5"/>
  <c r="AV23" i="5" s="1"/>
  <c r="AY11" i="6" l="1"/>
  <c r="AZ11" i="6" s="1"/>
  <c r="AY13" i="6"/>
  <c r="AZ13" i="6" s="1"/>
  <c r="AY22" i="6"/>
  <c r="AZ22" i="6" s="1"/>
  <c r="AY18" i="6"/>
  <c r="AZ18" i="6" s="1"/>
  <c r="AY16" i="6"/>
  <c r="AZ16" i="6" s="1"/>
  <c r="AY15" i="6"/>
  <c r="AZ15" i="6" s="1"/>
  <c r="AY20" i="6"/>
  <c r="AZ20" i="6" s="1"/>
  <c r="AY12" i="6"/>
  <c r="AZ12" i="6" s="1"/>
  <c r="AY21" i="6"/>
  <c r="AZ21" i="6" s="1"/>
  <c r="AY17" i="6"/>
  <c r="AZ17" i="6" s="1"/>
  <c r="AY9" i="6"/>
  <c r="AZ9" i="6" s="1"/>
  <c r="AY19" i="6"/>
  <c r="AZ19" i="6" s="1"/>
  <c r="AY10" i="6"/>
  <c r="AZ10" i="6" s="1"/>
  <c r="AZ14" i="6"/>
  <c r="AY21" i="5"/>
  <c r="AZ21" i="5" s="1"/>
  <c r="AY22" i="5"/>
  <c r="AZ22" i="5" s="1"/>
  <c r="AY14" i="5"/>
  <c r="AZ14" i="5" s="1"/>
  <c r="AY9" i="5"/>
  <c r="AZ9" i="5" s="1"/>
  <c r="AY11" i="5"/>
  <c r="AZ11" i="5" s="1"/>
  <c r="AY19" i="5"/>
  <c r="AZ19" i="5" s="1"/>
  <c r="AY20" i="5"/>
  <c r="AZ20" i="5" s="1"/>
  <c r="AY12" i="5"/>
  <c r="AZ12" i="5" s="1"/>
  <c r="AY16" i="5"/>
  <c r="AZ16" i="5" s="1"/>
  <c r="AY10" i="5"/>
  <c r="AZ10" i="5" s="1"/>
  <c r="AY18" i="5"/>
  <c r="AZ18" i="5" s="1"/>
  <c r="AY13" i="5"/>
  <c r="AZ13" i="5" s="1"/>
  <c r="AY15" i="5"/>
  <c r="AZ15" i="5" s="1"/>
  <c r="AY17" i="5"/>
  <c r="AZ17" i="5" s="1"/>
  <c r="AZ23" i="6" l="1"/>
  <c r="BA18" i="6" s="1"/>
  <c r="BD18" i="6" s="1"/>
  <c r="AZ23" i="5"/>
  <c r="BA10" i="6" l="1"/>
  <c r="BD10" i="6" s="1"/>
  <c r="BA9" i="6"/>
  <c r="BD9" i="6" s="1"/>
  <c r="BA15" i="6"/>
  <c r="BD15" i="6" s="1"/>
  <c r="BA14" i="6"/>
  <c r="BD14" i="6" s="1"/>
  <c r="BA16" i="6"/>
  <c r="BD16" i="6" s="1"/>
  <c r="BA20" i="6"/>
  <c r="BD20" i="6" s="1"/>
  <c r="BA21" i="6"/>
  <c r="BD21" i="6" s="1"/>
  <c r="BA19" i="6"/>
  <c r="BD19" i="6" s="1"/>
  <c r="BA12" i="6"/>
  <c r="BD12" i="6" s="1"/>
  <c r="BA22" i="6"/>
  <c r="BD22" i="6" s="1"/>
  <c r="BA17" i="6"/>
  <c r="BD17" i="6" s="1"/>
  <c r="BA11" i="6"/>
  <c r="BD11" i="6" s="1"/>
  <c r="BA13" i="6"/>
  <c r="BD13" i="6" s="1"/>
  <c r="BA11" i="5"/>
  <c r="BD11" i="5" s="1"/>
  <c r="BA16" i="5"/>
  <c r="BD16" i="5" s="1"/>
  <c r="BA12" i="5"/>
  <c r="BD12" i="5" s="1"/>
  <c r="BA13" i="5"/>
  <c r="BD13" i="5" s="1"/>
  <c r="BA18" i="5"/>
  <c r="BD18" i="5" s="1"/>
  <c r="BA19" i="5"/>
  <c r="BD19" i="5" s="1"/>
  <c r="BA10" i="5"/>
  <c r="BD10" i="5" s="1"/>
  <c r="BA9" i="5"/>
  <c r="BA14" i="5"/>
  <c r="BD14" i="5" s="1"/>
  <c r="BA15" i="5"/>
  <c r="BD15" i="5" s="1"/>
  <c r="BA21" i="5"/>
  <c r="BD21" i="5" s="1"/>
  <c r="BA22" i="5"/>
  <c r="BD22" i="5" s="1"/>
  <c r="BA17" i="5"/>
  <c r="BD17" i="5" s="1"/>
  <c r="BA20" i="5"/>
  <c r="BD20" i="5" s="1"/>
  <c r="BC23" i="6" l="1"/>
  <c r="BE18" i="6" s="1"/>
  <c r="BA23" i="6"/>
  <c r="BB23" i="6" s="1"/>
  <c r="BD9" i="5"/>
  <c r="BC23" i="5" s="1"/>
  <c r="BA23" i="5"/>
  <c r="BB23" i="5" s="1"/>
  <c r="BE16" i="6" l="1"/>
  <c r="BF16" i="6" s="1"/>
  <c r="BE13" i="6"/>
  <c r="BF13" i="6" s="1"/>
  <c r="BE17" i="6"/>
  <c r="BF17" i="6" s="1"/>
  <c r="BE14" i="6"/>
  <c r="BF14" i="6" s="1"/>
  <c r="BE20" i="6"/>
  <c r="BF20" i="6" s="1"/>
  <c r="BE10" i="6"/>
  <c r="BF10" i="6" s="1"/>
  <c r="BE11" i="6"/>
  <c r="BF11" i="6" s="1"/>
  <c r="BE21" i="6"/>
  <c r="BF21" i="6" s="1"/>
  <c r="BE12" i="6"/>
  <c r="BF12" i="6" s="1"/>
  <c r="BE22" i="6"/>
  <c r="BF22" i="6" s="1"/>
  <c r="BE19" i="6"/>
  <c r="BF19" i="6" s="1"/>
  <c r="BE9" i="6"/>
  <c r="BF9" i="6" s="1"/>
  <c r="BE15" i="6"/>
  <c r="BF15" i="6" s="1"/>
  <c r="BF18" i="6"/>
  <c r="BE20" i="5"/>
  <c r="BF20" i="5" s="1"/>
  <c r="BE21" i="5"/>
  <c r="BF21" i="5" s="1"/>
  <c r="BE10" i="5"/>
  <c r="BF10" i="5" s="1"/>
  <c r="BE14" i="5"/>
  <c r="BF14" i="5" s="1"/>
  <c r="BE16" i="5"/>
  <c r="BF16" i="5" s="1"/>
  <c r="BE13" i="5"/>
  <c r="BF13" i="5" s="1"/>
  <c r="BE18" i="5"/>
  <c r="BF18" i="5" s="1"/>
  <c r="BE19" i="5"/>
  <c r="BF19" i="5" s="1"/>
  <c r="BE17" i="5"/>
  <c r="BF17" i="5" s="1"/>
  <c r="BE12" i="5"/>
  <c r="BF12" i="5" s="1"/>
  <c r="BE11" i="5"/>
  <c r="BF11" i="5" s="1"/>
  <c r="BE9" i="5"/>
  <c r="BF9" i="5" s="1"/>
  <c r="BE22" i="5"/>
  <c r="BF22" i="5" s="1"/>
  <c r="BE15" i="5"/>
  <c r="BF15" i="5" s="1"/>
  <c r="BF23" i="6" l="1"/>
  <c r="BG18" i="6" s="1"/>
  <c r="BJ18" i="6" s="1"/>
  <c r="BF23" i="5"/>
  <c r="BG9" i="5" s="1"/>
  <c r="BJ9" i="5" s="1"/>
  <c r="BG13" i="6" l="1"/>
  <c r="BJ13" i="6" s="1"/>
  <c r="BG9" i="6"/>
  <c r="BJ9" i="6" s="1"/>
  <c r="BG19" i="6"/>
  <c r="BJ19" i="6" s="1"/>
  <c r="BG16" i="6"/>
  <c r="BJ16" i="6" s="1"/>
  <c r="BG10" i="6"/>
  <c r="BJ10" i="6" s="1"/>
  <c r="BG12" i="6"/>
  <c r="BJ12" i="6" s="1"/>
  <c r="BG22" i="6"/>
  <c r="BJ22" i="6" s="1"/>
  <c r="BG20" i="6"/>
  <c r="BJ20" i="6" s="1"/>
  <c r="BG17" i="6"/>
  <c r="BJ17" i="6" s="1"/>
  <c r="BG11" i="6"/>
  <c r="BJ11" i="6" s="1"/>
  <c r="BG21" i="6"/>
  <c r="BJ21" i="6" s="1"/>
  <c r="BG15" i="6"/>
  <c r="BJ15" i="6" s="1"/>
  <c r="BG14" i="6"/>
  <c r="BJ14" i="6" s="1"/>
  <c r="BG16" i="5"/>
  <c r="BJ16" i="5" s="1"/>
  <c r="BG21" i="5"/>
  <c r="BJ21" i="5" s="1"/>
  <c r="BG22" i="5"/>
  <c r="BJ22" i="5" s="1"/>
  <c r="BG14" i="5"/>
  <c r="BJ14" i="5" s="1"/>
  <c r="BG19" i="5"/>
  <c r="BJ19" i="5" s="1"/>
  <c r="BG10" i="5"/>
  <c r="BJ10" i="5" s="1"/>
  <c r="BG17" i="5"/>
  <c r="BJ17" i="5" s="1"/>
  <c r="BG18" i="5"/>
  <c r="BJ18" i="5" s="1"/>
  <c r="BG11" i="5"/>
  <c r="BJ11" i="5" s="1"/>
  <c r="BG15" i="5"/>
  <c r="BJ15" i="5" s="1"/>
  <c r="BG13" i="5"/>
  <c r="BJ13" i="5" s="1"/>
  <c r="BG20" i="5"/>
  <c r="BJ20" i="5" s="1"/>
  <c r="BG12" i="5"/>
  <c r="BJ12" i="5" s="1"/>
  <c r="BI23" i="6" l="1"/>
  <c r="BK19" i="6" s="1"/>
  <c r="BG23" i="6"/>
  <c r="BH23" i="6" s="1"/>
  <c r="BI23" i="5"/>
  <c r="BK22" i="5" s="1"/>
  <c r="BG23" i="5"/>
  <c r="BH23" i="5" s="1"/>
  <c r="BL19" i="6" l="1"/>
  <c r="BK11" i="6"/>
  <c r="BL11" i="6" s="1"/>
  <c r="BK9" i="6"/>
  <c r="BL9" i="6" s="1"/>
  <c r="BK18" i="6"/>
  <c r="BL18" i="6" s="1"/>
  <c r="BK21" i="6"/>
  <c r="BL21" i="6" s="1"/>
  <c r="BK16" i="6"/>
  <c r="BL16" i="6" s="1"/>
  <c r="BK13" i="6"/>
  <c r="BL13" i="6" s="1"/>
  <c r="BK22" i="6"/>
  <c r="BL22" i="6" s="1"/>
  <c r="BK15" i="6"/>
  <c r="BL15" i="6" s="1"/>
  <c r="BK14" i="6"/>
  <c r="BL14" i="6" s="1"/>
  <c r="BK20" i="6"/>
  <c r="BL20" i="6" s="1"/>
  <c r="BK10" i="6"/>
  <c r="BL10" i="6" s="1"/>
  <c r="BK17" i="6"/>
  <c r="BL17" i="6" s="1"/>
  <c r="BK12" i="6"/>
  <c r="BL12" i="6" s="1"/>
  <c r="BL22" i="5"/>
  <c r="BK10" i="5"/>
  <c r="BL10" i="5" s="1"/>
  <c r="BK17" i="5"/>
  <c r="BL17" i="5" s="1"/>
  <c r="BK12" i="5"/>
  <c r="BL12" i="5" s="1"/>
  <c r="BK14" i="5"/>
  <c r="BL14" i="5" s="1"/>
  <c r="BK20" i="5"/>
  <c r="BL20" i="5" s="1"/>
  <c r="BK9" i="5"/>
  <c r="BL9" i="5" s="1"/>
  <c r="BK21" i="5"/>
  <c r="BL21" i="5" s="1"/>
  <c r="BK16" i="5"/>
  <c r="BL16" i="5" s="1"/>
  <c r="BK11" i="5"/>
  <c r="BL11" i="5" s="1"/>
  <c r="BK15" i="5"/>
  <c r="BL15" i="5" s="1"/>
  <c r="BK18" i="5"/>
  <c r="BL18" i="5" s="1"/>
  <c r="BK19" i="5"/>
  <c r="BL19" i="5" s="1"/>
  <c r="BK13" i="5"/>
  <c r="BL13" i="5" s="1"/>
  <c r="BL23" i="6" l="1"/>
  <c r="BM11" i="6" s="1"/>
  <c r="BP11" i="6" s="1"/>
  <c r="BL23" i="5"/>
  <c r="BM22" i="5" s="1"/>
  <c r="BP22" i="5" s="1"/>
  <c r="BM17" i="6" l="1"/>
  <c r="BP17" i="6" s="1"/>
  <c r="BM10" i="6"/>
  <c r="BP10" i="6" s="1"/>
  <c r="BM21" i="6"/>
  <c r="BP21" i="6" s="1"/>
  <c r="BM20" i="6"/>
  <c r="BP20" i="6" s="1"/>
  <c r="BM19" i="6"/>
  <c r="BP19" i="6" s="1"/>
  <c r="BM14" i="6"/>
  <c r="BP14" i="6" s="1"/>
  <c r="BM22" i="6"/>
  <c r="BP22" i="6" s="1"/>
  <c r="BM13" i="6"/>
  <c r="BP13" i="6" s="1"/>
  <c r="BM18" i="6"/>
  <c r="BP18" i="6" s="1"/>
  <c r="BM12" i="6"/>
  <c r="BP12" i="6" s="1"/>
  <c r="BM15" i="6"/>
  <c r="BP15" i="6" s="1"/>
  <c r="BM16" i="6"/>
  <c r="BP16" i="6" s="1"/>
  <c r="BM9" i="6"/>
  <c r="BP9" i="6" s="1"/>
  <c r="BM19" i="5"/>
  <c r="BP19" i="5" s="1"/>
  <c r="BM9" i="5"/>
  <c r="BP9" i="5" s="1"/>
  <c r="BM13" i="5"/>
  <c r="BP13" i="5" s="1"/>
  <c r="BM16" i="5"/>
  <c r="BP16" i="5" s="1"/>
  <c r="BM15" i="5"/>
  <c r="BP15" i="5" s="1"/>
  <c r="BM10" i="5"/>
  <c r="BP10" i="5" s="1"/>
  <c r="BM17" i="5"/>
  <c r="BP17" i="5" s="1"/>
  <c r="BM11" i="5"/>
  <c r="BP11" i="5" s="1"/>
  <c r="BM12" i="5"/>
  <c r="BP12" i="5" s="1"/>
  <c r="BM18" i="5"/>
  <c r="BP18" i="5" s="1"/>
  <c r="BM20" i="5"/>
  <c r="BP20" i="5" s="1"/>
  <c r="BM14" i="5"/>
  <c r="BP14" i="5" s="1"/>
  <c r="BM21" i="5"/>
  <c r="BP21" i="5" s="1"/>
  <c r="BO23" i="6" l="1"/>
  <c r="BQ14" i="6" s="1"/>
  <c r="BM23" i="6"/>
  <c r="BN23" i="6" s="1"/>
  <c r="BO23" i="5"/>
  <c r="BQ22" i="5" s="1"/>
  <c r="BM23" i="5"/>
  <c r="BN23" i="5" s="1"/>
  <c r="BQ13" i="6" l="1"/>
  <c r="BR13" i="6" s="1"/>
  <c r="BQ15" i="6"/>
  <c r="BR15" i="6" s="1"/>
  <c r="BQ10" i="6"/>
  <c r="BR10" i="6" s="1"/>
  <c r="BQ22" i="6"/>
  <c r="BR22" i="6" s="1"/>
  <c r="BQ16" i="6"/>
  <c r="BR16" i="6" s="1"/>
  <c r="BQ11" i="6"/>
  <c r="BR11" i="6" s="1"/>
  <c r="BQ19" i="6"/>
  <c r="BR19" i="6" s="1"/>
  <c r="BQ17" i="6"/>
  <c r="BR17" i="6" s="1"/>
  <c r="BQ18" i="6"/>
  <c r="BR18" i="6" s="1"/>
  <c r="BQ12" i="6"/>
  <c r="BR12" i="6" s="1"/>
  <c r="BQ21" i="6"/>
  <c r="BR21" i="6" s="1"/>
  <c r="BQ20" i="6"/>
  <c r="BR20" i="6" s="1"/>
  <c r="BQ9" i="6"/>
  <c r="BR9" i="6" s="1"/>
  <c r="BR14" i="6"/>
  <c r="BQ11" i="5"/>
  <c r="BR11" i="5" s="1"/>
  <c r="BQ18" i="5"/>
  <c r="BR18" i="5" s="1"/>
  <c r="BQ17" i="5"/>
  <c r="BR17" i="5" s="1"/>
  <c r="BQ9" i="5"/>
  <c r="BR9" i="5" s="1"/>
  <c r="BQ13" i="5"/>
  <c r="BR13" i="5" s="1"/>
  <c r="BQ21" i="5"/>
  <c r="BR21" i="5" s="1"/>
  <c r="BQ19" i="5"/>
  <c r="BR19" i="5" s="1"/>
  <c r="BQ12" i="5"/>
  <c r="BR12" i="5" s="1"/>
  <c r="BQ15" i="5"/>
  <c r="BR15" i="5" s="1"/>
  <c r="BQ16" i="5"/>
  <c r="BR16" i="5" s="1"/>
  <c r="BQ10" i="5"/>
  <c r="BR10" i="5" s="1"/>
  <c r="BQ14" i="5"/>
  <c r="BR14" i="5" s="1"/>
  <c r="BQ20" i="5"/>
  <c r="BR20" i="5" s="1"/>
  <c r="BR22" i="5"/>
  <c r="BR23" i="6" l="1"/>
  <c r="BS19" i="6" s="1"/>
  <c r="BV19" i="6" s="1"/>
  <c r="BR23" i="5"/>
  <c r="BS21" i="5" s="1"/>
  <c r="BV21" i="5" s="1"/>
  <c r="BS20" i="6" l="1"/>
  <c r="BV20" i="6" s="1"/>
  <c r="BS10" i="6"/>
  <c r="BV10" i="6" s="1"/>
  <c r="BS14" i="6"/>
  <c r="BV14" i="6" s="1"/>
  <c r="BS11" i="6"/>
  <c r="BV11" i="6" s="1"/>
  <c r="BS12" i="6"/>
  <c r="BV12" i="6" s="1"/>
  <c r="BS17" i="6"/>
  <c r="BV17" i="6" s="1"/>
  <c r="BS22" i="6"/>
  <c r="BV22" i="6" s="1"/>
  <c r="BS16" i="6"/>
  <c r="BV16" i="6" s="1"/>
  <c r="BS13" i="6"/>
  <c r="BV13" i="6" s="1"/>
  <c r="BS15" i="6"/>
  <c r="BV15" i="6" s="1"/>
  <c r="BS18" i="6"/>
  <c r="BV18" i="6" s="1"/>
  <c r="BS21" i="6"/>
  <c r="BV21" i="6" s="1"/>
  <c r="BS9" i="6"/>
  <c r="BS16" i="5"/>
  <c r="BV16" i="5" s="1"/>
  <c r="BS22" i="5"/>
  <c r="BV22" i="5" s="1"/>
  <c r="BS9" i="5"/>
  <c r="BV9" i="5" s="1"/>
  <c r="BS15" i="5"/>
  <c r="BV15" i="5" s="1"/>
  <c r="BS14" i="5"/>
  <c r="BV14" i="5" s="1"/>
  <c r="BS20" i="5"/>
  <c r="BV20" i="5" s="1"/>
  <c r="BS18" i="5"/>
  <c r="BV18" i="5" s="1"/>
  <c r="BS10" i="5"/>
  <c r="BV10" i="5" s="1"/>
  <c r="BS13" i="5"/>
  <c r="BV13" i="5" s="1"/>
  <c r="BS17" i="5"/>
  <c r="BV17" i="5" s="1"/>
  <c r="BS19" i="5"/>
  <c r="BV19" i="5" s="1"/>
  <c r="BS12" i="5"/>
  <c r="BV12" i="5" s="1"/>
  <c r="BS11" i="5"/>
  <c r="BV11" i="5" s="1"/>
  <c r="BS23" i="6" l="1"/>
  <c r="BT23" i="6" s="1"/>
  <c r="BV9" i="6"/>
  <c r="BU23" i="6" s="1"/>
  <c r="BW9" i="6" s="1"/>
  <c r="BS23" i="5"/>
  <c r="BT23" i="5" s="1"/>
  <c r="BU23" i="5"/>
  <c r="BW20" i="5" s="1"/>
  <c r="BX9" i="6" l="1"/>
  <c r="BW10" i="6"/>
  <c r="BX10" i="6" s="1"/>
  <c r="BX20" i="5"/>
  <c r="BW17" i="6"/>
  <c r="BX17" i="6" s="1"/>
  <c r="BW14" i="6"/>
  <c r="BX14" i="6" s="1"/>
  <c r="BW12" i="6"/>
  <c r="BX12" i="6" s="1"/>
  <c r="BW18" i="6"/>
  <c r="BX18" i="6" s="1"/>
  <c r="BW22" i="6"/>
  <c r="BX22" i="6" s="1"/>
  <c r="BW11" i="6"/>
  <c r="BX11" i="6" s="1"/>
  <c r="BW15" i="6"/>
  <c r="BX15" i="6" s="1"/>
  <c r="BW13" i="6"/>
  <c r="BX13" i="6" s="1"/>
  <c r="BW21" i="6"/>
  <c r="BX21" i="6" s="1"/>
  <c r="BW20" i="6"/>
  <c r="BX20" i="6" s="1"/>
  <c r="BW16" i="6"/>
  <c r="BX16" i="6" s="1"/>
  <c r="BW19" i="6"/>
  <c r="BX19" i="6" s="1"/>
  <c r="BW14" i="5"/>
  <c r="BX14" i="5" s="1"/>
  <c r="BW19" i="5"/>
  <c r="BX19" i="5" s="1"/>
  <c r="BW18" i="5"/>
  <c r="BX18" i="5" s="1"/>
  <c r="BW12" i="5"/>
  <c r="BX12" i="5" s="1"/>
  <c r="BW22" i="5"/>
  <c r="BX22" i="5" s="1"/>
  <c r="BW13" i="5"/>
  <c r="BX13" i="5" s="1"/>
  <c r="BW21" i="5"/>
  <c r="BX21" i="5" s="1"/>
  <c r="BW9" i="5"/>
  <c r="BX9" i="5" s="1"/>
  <c r="BW17" i="5"/>
  <c r="BX17" i="5" s="1"/>
  <c r="BW11" i="5"/>
  <c r="BX11" i="5" s="1"/>
  <c r="BW15" i="5"/>
  <c r="BX15" i="5" s="1"/>
  <c r="BW10" i="5"/>
  <c r="BX10" i="5" s="1"/>
  <c r="BW16" i="5"/>
  <c r="BX16" i="5" s="1"/>
  <c r="BX23" i="6" l="1"/>
  <c r="BX23" i="5"/>
  <c r="BY16" i="5" s="1"/>
  <c r="CB16" i="5" s="1"/>
  <c r="BY15" i="6" l="1"/>
  <c r="CB15" i="6" s="1"/>
  <c r="BY12" i="6"/>
  <c r="CB12" i="6" s="1"/>
  <c r="BY9" i="6"/>
  <c r="BY21" i="6"/>
  <c r="CB21" i="6" s="1"/>
  <c r="BY11" i="6"/>
  <c r="CB11" i="6" s="1"/>
  <c r="BY18" i="6"/>
  <c r="CB18" i="6" s="1"/>
  <c r="BY19" i="6"/>
  <c r="CB19" i="6" s="1"/>
  <c r="BY10" i="6"/>
  <c r="CB10" i="6" s="1"/>
  <c r="BY20" i="6"/>
  <c r="CB20" i="6" s="1"/>
  <c r="BY16" i="6"/>
  <c r="CB16" i="6" s="1"/>
  <c r="BY14" i="6"/>
  <c r="CB14" i="6" s="1"/>
  <c r="BY22" i="6"/>
  <c r="CB22" i="6" s="1"/>
  <c r="BY17" i="6"/>
  <c r="CB17" i="6" s="1"/>
  <c r="BY13" i="6"/>
  <c r="CB13" i="6" s="1"/>
  <c r="BY20" i="5"/>
  <c r="CB20" i="5" s="1"/>
  <c r="BY11" i="5"/>
  <c r="CB11" i="5" s="1"/>
  <c r="BY19" i="5"/>
  <c r="CB19" i="5" s="1"/>
  <c r="BY9" i="5"/>
  <c r="CB9" i="5" s="1"/>
  <c r="BY10" i="5"/>
  <c r="CB10" i="5" s="1"/>
  <c r="BY17" i="5"/>
  <c r="CB17" i="5" s="1"/>
  <c r="BY21" i="5"/>
  <c r="CB21" i="5" s="1"/>
  <c r="BY22" i="5"/>
  <c r="CB22" i="5" s="1"/>
  <c r="BY13" i="5"/>
  <c r="CB13" i="5" s="1"/>
  <c r="BY18" i="5"/>
  <c r="CB18" i="5" s="1"/>
  <c r="BY15" i="5"/>
  <c r="CB15" i="5" s="1"/>
  <c r="BY14" i="5"/>
  <c r="CB14" i="5" s="1"/>
  <c r="BY12" i="5"/>
  <c r="CB12" i="5" s="1"/>
  <c r="CB9" i="6" l="1"/>
  <c r="CA23" i="6" s="1"/>
  <c r="BY23" i="6"/>
  <c r="BZ23" i="6" s="1"/>
  <c r="CA23" i="5"/>
  <c r="CC22" i="5" s="1"/>
  <c r="BY23" i="5"/>
  <c r="BZ23" i="5" s="1"/>
  <c r="CD22" i="5" l="1"/>
  <c r="CC18" i="6"/>
  <c r="CD18" i="6" s="1"/>
  <c r="CC11" i="6"/>
  <c r="CD11" i="6" s="1"/>
  <c r="CC16" i="6"/>
  <c r="CD16" i="6" s="1"/>
  <c r="CC15" i="6"/>
  <c r="CD15" i="6" s="1"/>
  <c r="CC21" i="6"/>
  <c r="CD21" i="6" s="1"/>
  <c r="CC22" i="6"/>
  <c r="CD22" i="6" s="1"/>
  <c r="CC19" i="6"/>
  <c r="CD19" i="6" s="1"/>
  <c r="CC14" i="6"/>
  <c r="CD14" i="6" s="1"/>
  <c r="CC17" i="6"/>
  <c r="CD17" i="6" s="1"/>
  <c r="CC10" i="6"/>
  <c r="CD10" i="6" s="1"/>
  <c r="CC13" i="6"/>
  <c r="CD13" i="6" s="1"/>
  <c r="CC9" i="6"/>
  <c r="CD9" i="6" s="1"/>
  <c r="CC12" i="6"/>
  <c r="CD12" i="6" s="1"/>
  <c r="CC20" i="6"/>
  <c r="CD20" i="6" s="1"/>
  <c r="CC19" i="5"/>
  <c r="CD19" i="5" s="1"/>
  <c r="CC16" i="5"/>
  <c r="CD16" i="5" s="1"/>
  <c r="CC17" i="5"/>
  <c r="CD17" i="5" s="1"/>
  <c r="CC11" i="5"/>
  <c r="CD11" i="5" s="1"/>
  <c r="CC13" i="5"/>
  <c r="CD13" i="5" s="1"/>
  <c r="CC10" i="5"/>
  <c r="CD10" i="5" s="1"/>
  <c r="CC9" i="5"/>
  <c r="CD9" i="5" s="1"/>
  <c r="CC14" i="5"/>
  <c r="CD14" i="5" s="1"/>
  <c r="CC21" i="5"/>
  <c r="CD21" i="5" s="1"/>
  <c r="CC20" i="5"/>
  <c r="CD20" i="5" s="1"/>
  <c r="CC12" i="5"/>
  <c r="CD12" i="5" s="1"/>
  <c r="CC15" i="5"/>
  <c r="CD15" i="5" s="1"/>
  <c r="CC18" i="5"/>
  <c r="CD18" i="5" s="1"/>
  <c r="CD23" i="6" l="1"/>
  <c r="CD23" i="5"/>
  <c r="CE17" i="6" l="1"/>
  <c r="CH17" i="6" s="1"/>
  <c r="CE9" i="6"/>
  <c r="CE18" i="6"/>
  <c r="CH18" i="6" s="1"/>
  <c r="CE12" i="6"/>
  <c r="CH12" i="6" s="1"/>
  <c r="CE10" i="6"/>
  <c r="CH10" i="6" s="1"/>
  <c r="CE21" i="6"/>
  <c r="CH21" i="6" s="1"/>
  <c r="CE15" i="6"/>
  <c r="CH15" i="6" s="1"/>
  <c r="CE13" i="6"/>
  <c r="CH13" i="6" s="1"/>
  <c r="CE11" i="6"/>
  <c r="CH11" i="6" s="1"/>
  <c r="CE14" i="6"/>
  <c r="CH14" i="6" s="1"/>
  <c r="CE20" i="6"/>
  <c r="CH20" i="6" s="1"/>
  <c r="CE22" i="6"/>
  <c r="CH22" i="6" s="1"/>
  <c r="CE19" i="6"/>
  <c r="CH19" i="6" s="1"/>
  <c r="CE16" i="6"/>
  <c r="CH16" i="6" s="1"/>
  <c r="CE12" i="5"/>
  <c r="CH12" i="5" s="1"/>
  <c r="CE21" i="5"/>
  <c r="CH21" i="5" s="1"/>
  <c r="CE9" i="5"/>
  <c r="CE10" i="5"/>
  <c r="CH10" i="5" s="1"/>
  <c r="CE13" i="5"/>
  <c r="CH13" i="5" s="1"/>
  <c r="CE16" i="5"/>
  <c r="CH16" i="5" s="1"/>
  <c r="CE20" i="5"/>
  <c r="CH20" i="5" s="1"/>
  <c r="CE15" i="5"/>
  <c r="CH15" i="5" s="1"/>
  <c r="CE19" i="5"/>
  <c r="CH19" i="5" s="1"/>
  <c r="CE14" i="5"/>
  <c r="CH14" i="5" s="1"/>
  <c r="CE22" i="5"/>
  <c r="CH22" i="5" s="1"/>
  <c r="CE18" i="5"/>
  <c r="CH18" i="5" s="1"/>
  <c r="CE17" i="5"/>
  <c r="CH17" i="5" s="1"/>
  <c r="CE11" i="5"/>
  <c r="CH11" i="5" s="1"/>
  <c r="CH9" i="6" l="1"/>
  <c r="CG23" i="6" s="1"/>
  <c r="CE23" i="6"/>
  <c r="CF23" i="6" s="1"/>
  <c r="CH9" i="5"/>
  <c r="CG23" i="5" s="1"/>
  <c r="CE23" i="5"/>
  <c r="CF23" i="5" s="1"/>
  <c r="CI21" i="6" l="1"/>
  <c r="CJ21" i="6" s="1"/>
  <c r="CI13" i="6"/>
  <c r="CJ13" i="6" s="1"/>
  <c r="CI18" i="6"/>
  <c r="CJ18" i="6" s="1"/>
  <c r="CI10" i="6"/>
  <c r="CJ10" i="6" s="1"/>
  <c r="CI15" i="6"/>
  <c r="CJ15" i="6" s="1"/>
  <c r="CI11" i="6"/>
  <c r="CJ11" i="6" s="1"/>
  <c r="CI16" i="6"/>
  <c r="CJ16" i="6" s="1"/>
  <c r="CI19" i="6"/>
  <c r="CJ19" i="6" s="1"/>
  <c r="CI12" i="6"/>
  <c r="CJ12" i="6" s="1"/>
  <c r="CI20" i="6"/>
  <c r="CJ20" i="6" s="1"/>
  <c r="CI9" i="6"/>
  <c r="CJ9" i="6" s="1"/>
  <c r="CI14" i="6"/>
  <c r="CJ14" i="6" s="1"/>
  <c r="CI22" i="6"/>
  <c r="CJ22" i="6" s="1"/>
  <c r="CI17" i="6"/>
  <c r="CJ17" i="6" s="1"/>
  <c r="CI22" i="5"/>
  <c r="CJ22" i="5" s="1"/>
  <c r="CI18" i="5"/>
  <c r="CJ18" i="5" s="1"/>
  <c r="CI9" i="5"/>
  <c r="CJ9" i="5" s="1"/>
  <c r="CI14" i="5"/>
  <c r="CJ14" i="5" s="1"/>
  <c r="CI10" i="5"/>
  <c r="CJ10" i="5" s="1"/>
  <c r="CI13" i="5"/>
  <c r="CJ13" i="5" s="1"/>
  <c r="CI17" i="5"/>
  <c r="CJ17" i="5" s="1"/>
  <c r="CI15" i="5"/>
  <c r="CJ15" i="5" s="1"/>
  <c r="CI19" i="5"/>
  <c r="CJ19" i="5" s="1"/>
  <c r="CI20" i="5"/>
  <c r="CJ20" i="5" s="1"/>
  <c r="CI16" i="5"/>
  <c r="CJ16" i="5" s="1"/>
  <c r="CI11" i="5"/>
  <c r="CJ11" i="5" s="1"/>
  <c r="CI12" i="5"/>
  <c r="CJ12" i="5" s="1"/>
  <c r="CI21" i="5"/>
  <c r="CJ21" i="5" s="1"/>
  <c r="CJ23" i="6" l="1"/>
  <c r="CJ23" i="5"/>
  <c r="CK18" i="6" l="1"/>
  <c r="CN18" i="6" s="1"/>
  <c r="CK15" i="6"/>
  <c r="CN15" i="6" s="1"/>
  <c r="CK17" i="6"/>
  <c r="CN17" i="6" s="1"/>
  <c r="CK21" i="6"/>
  <c r="CN21" i="6" s="1"/>
  <c r="CK13" i="6"/>
  <c r="CN13" i="6" s="1"/>
  <c r="CK22" i="6"/>
  <c r="CN22" i="6" s="1"/>
  <c r="CK9" i="6"/>
  <c r="CK14" i="6"/>
  <c r="CN14" i="6" s="1"/>
  <c r="CK16" i="6"/>
  <c r="CN16" i="6" s="1"/>
  <c r="CK11" i="6"/>
  <c r="CN11" i="6" s="1"/>
  <c r="CK19" i="6"/>
  <c r="CN19" i="6" s="1"/>
  <c r="CK12" i="6"/>
  <c r="CN12" i="6" s="1"/>
  <c r="CK20" i="6"/>
  <c r="CN20" i="6" s="1"/>
  <c r="CK10" i="6"/>
  <c r="CN10" i="6" s="1"/>
  <c r="CK10" i="5"/>
  <c r="CN10" i="5" s="1"/>
  <c r="CK21" i="5"/>
  <c r="CN21" i="5" s="1"/>
  <c r="CK18" i="5"/>
  <c r="CN18" i="5" s="1"/>
  <c r="CK9" i="5"/>
  <c r="CK20" i="5"/>
  <c r="CN20" i="5" s="1"/>
  <c r="CK11" i="5"/>
  <c r="CN11" i="5" s="1"/>
  <c r="CK16" i="5"/>
  <c r="CN16" i="5" s="1"/>
  <c r="CK19" i="5"/>
  <c r="CN19" i="5" s="1"/>
  <c r="CK13" i="5"/>
  <c r="CN13" i="5" s="1"/>
  <c r="CK15" i="5"/>
  <c r="CN15" i="5" s="1"/>
  <c r="CK14" i="5"/>
  <c r="CN14" i="5" s="1"/>
  <c r="CK17" i="5"/>
  <c r="CN17" i="5" s="1"/>
  <c r="CK22" i="5"/>
  <c r="CN22" i="5" s="1"/>
  <c r="CK12" i="5"/>
  <c r="CN12" i="5" s="1"/>
  <c r="CN9" i="6" l="1"/>
  <c r="CM23" i="6" s="1"/>
  <c r="CK23" i="6"/>
  <c r="CL23" i="6" s="1"/>
  <c r="CN9" i="5"/>
  <c r="CM23" i="5" s="1"/>
  <c r="CK23" i="5"/>
  <c r="CL23" i="5" s="1"/>
  <c r="CO22" i="6" l="1"/>
  <c r="CP22" i="6" s="1"/>
  <c r="CO13" i="6"/>
  <c r="CP13" i="6" s="1"/>
  <c r="CO15" i="6"/>
  <c r="CP15" i="6" s="1"/>
  <c r="CO10" i="6"/>
  <c r="CP10" i="6" s="1"/>
  <c r="CO16" i="6"/>
  <c r="CP16" i="6" s="1"/>
  <c r="CO11" i="6"/>
  <c r="CP11" i="6" s="1"/>
  <c r="CO18" i="6"/>
  <c r="CP18" i="6" s="1"/>
  <c r="CO20" i="6"/>
  <c r="CP20" i="6" s="1"/>
  <c r="CO12" i="6"/>
  <c r="CP12" i="6" s="1"/>
  <c r="CO21" i="6"/>
  <c r="CP21" i="6" s="1"/>
  <c r="CO9" i="6"/>
  <c r="CP9" i="6" s="1"/>
  <c r="CO14" i="6"/>
  <c r="CP14" i="6" s="1"/>
  <c r="CO19" i="6"/>
  <c r="CP19" i="6" s="1"/>
  <c r="CO17" i="6"/>
  <c r="CP17" i="6" s="1"/>
  <c r="CO20" i="5"/>
  <c r="CP20" i="5" s="1"/>
  <c r="CO21" i="5"/>
  <c r="CP21" i="5" s="1"/>
  <c r="CO14" i="5"/>
  <c r="CP14" i="5" s="1"/>
  <c r="CO10" i="5"/>
  <c r="CP10" i="5" s="1"/>
  <c r="CO22" i="5"/>
  <c r="CP22" i="5" s="1"/>
  <c r="CO11" i="5"/>
  <c r="CP11" i="5" s="1"/>
  <c r="CO15" i="5"/>
  <c r="CP15" i="5" s="1"/>
  <c r="CO16" i="5"/>
  <c r="CP16" i="5" s="1"/>
  <c r="CO13" i="5"/>
  <c r="CP13" i="5" s="1"/>
  <c r="CO17" i="5"/>
  <c r="CP17" i="5" s="1"/>
  <c r="CO9" i="5"/>
  <c r="CP9" i="5" s="1"/>
  <c r="CO18" i="5"/>
  <c r="CP18" i="5" s="1"/>
  <c r="CO12" i="5"/>
  <c r="CP12" i="5" s="1"/>
  <c r="CO19" i="5"/>
  <c r="CP19" i="5" s="1"/>
  <c r="CP23" i="6" l="1"/>
  <c r="CP23" i="5"/>
  <c r="CQ20" i="6" l="1"/>
  <c r="CT20" i="6" s="1"/>
  <c r="CQ21" i="6"/>
  <c r="CT21" i="6" s="1"/>
  <c r="CQ17" i="6"/>
  <c r="CT17" i="6" s="1"/>
  <c r="CQ9" i="6"/>
  <c r="CQ19" i="6"/>
  <c r="CT19" i="6" s="1"/>
  <c r="CQ10" i="6"/>
  <c r="CT10" i="6" s="1"/>
  <c r="CQ16" i="6"/>
  <c r="CT16" i="6" s="1"/>
  <c r="CQ11" i="6"/>
  <c r="CT11" i="6" s="1"/>
  <c r="CQ18" i="6"/>
  <c r="CT18" i="6" s="1"/>
  <c r="CQ22" i="6"/>
  <c r="CT22" i="6" s="1"/>
  <c r="CQ15" i="6"/>
  <c r="CT15" i="6" s="1"/>
  <c r="CQ12" i="6"/>
  <c r="CT12" i="6" s="1"/>
  <c r="CQ14" i="6"/>
  <c r="CT14" i="6" s="1"/>
  <c r="CQ13" i="6"/>
  <c r="CT13" i="6" s="1"/>
  <c r="CQ20" i="5"/>
  <c r="CT20" i="5" s="1"/>
  <c r="CQ17" i="5"/>
  <c r="CT17" i="5" s="1"/>
  <c r="CQ12" i="5"/>
  <c r="CT12" i="5" s="1"/>
  <c r="CQ22" i="5"/>
  <c r="CT22" i="5" s="1"/>
  <c r="CQ18" i="5"/>
  <c r="CT18" i="5" s="1"/>
  <c r="CQ13" i="5"/>
  <c r="CT13" i="5" s="1"/>
  <c r="CQ11" i="5"/>
  <c r="CT11" i="5" s="1"/>
  <c r="CQ16" i="5"/>
  <c r="CT16" i="5" s="1"/>
  <c r="CQ10" i="5"/>
  <c r="CT10" i="5" s="1"/>
  <c r="CQ14" i="5"/>
  <c r="CT14" i="5" s="1"/>
  <c r="CQ21" i="5"/>
  <c r="CT21" i="5" s="1"/>
  <c r="CQ19" i="5"/>
  <c r="CT19" i="5" s="1"/>
  <c r="CQ15" i="5"/>
  <c r="CT15" i="5" s="1"/>
  <c r="CQ9" i="5"/>
  <c r="CT9" i="6" l="1"/>
  <c r="CS23" i="6" s="1"/>
  <c r="CQ23" i="6"/>
  <c r="CR23" i="6" s="1"/>
  <c r="CT9" i="5"/>
  <c r="CS23" i="5" s="1"/>
  <c r="CQ23" i="5"/>
  <c r="CR23" i="5" s="1"/>
  <c r="CU22" i="6" l="1"/>
  <c r="CV22" i="6" s="1"/>
  <c r="CU13" i="6"/>
  <c r="CV13" i="6" s="1"/>
  <c r="CU16" i="6"/>
  <c r="CV16" i="6" s="1"/>
  <c r="CU9" i="6"/>
  <c r="CV9" i="6" s="1"/>
  <c r="CU15" i="6"/>
  <c r="CV15" i="6" s="1"/>
  <c r="CU21" i="6"/>
  <c r="CV21" i="6" s="1"/>
  <c r="CU12" i="6"/>
  <c r="CV12" i="6" s="1"/>
  <c r="CU19" i="6"/>
  <c r="CV19" i="6" s="1"/>
  <c r="CU10" i="6"/>
  <c r="CV10" i="6" s="1"/>
  <c r="CU17" i="6"/>
  <c r="CV17" i="6" s="1"/>
  <c r="CU11" i="6"/>
  <c r="CV11" i="6" s="1"/>
  <c r="CU14" i="6"/>
  <c r="CV14" i="6" s="1"/>
  <c r="CU20" i="6"/>
  <c r="CV20" i="6" s="1"/>
  <c r="CU18" i="6"/>
  <c r="CV18" i="6" s="1"/>
  <c r="CU19" i="5"/>
  <c r="CV19" i="5" s="1"/>
  <c r="CU21" i="5"/>
  <c r="CV21" i="5" s="1"/>
  <c r="CU13" i="5"/>
  <c r="CV13" i="5" s="1"/>
  <c r="CU9" i="5"/>
  <c r="CV9" i="5" s="1"/>
  <c r="CU11" i="5"/>
  <c r="CV11" i="5" s="1"/>
  <c r="CU22" i="5"/>
  <c r="CV22" i="5" s="1"/>
  <c r="CU15" i="5"/>
  <c r="CV15" i="5" s="1"/>
  <c r="CU17" i="5"/>
  <c r="CV17" i="5" s="1"/>
  <c r="CU12" i="5"/>
  <c r="CV12" i="5" s="1"/>
  <c r="CU20" i="5"/>
  <c r="CV20" i="5" s="1"/>
  <c r="CU18" i="5"/>
  <c r="CV18" i="5" s="1"/>
  <c r="CU14" i="5"/>
  <c r="CV14" i="5" s="1"/>
  <c r="CU16" i="5"/>
  <c r="CV16" i="5" s="1"/>
  <c r="CU10" i="5"/>
  <c r="CV10" i="5" s="1"/>
  <c r="CV23" i="6" l="1"/>
  <c r="CV23" i="5"/>
  <c r="CW15" i="6" l="1"/>
  <c r="CZ15" i="6" s="1"/>
  <c r="CW19" i="6"/>
  <c r="CZ19" i="6" s="1"/>
  <c r="CW9" i="6"/>
  <c r="CW21" i="6"/>
  <c r="CZ21" i="6" s="1"/>
  <c r="CW13" i="6"/>
  <c r="CZ13" i="6" s="1"/>
  <c r="CW11" i="6"/>
  <c r="CZ11" i="6" s="1"/>
  <c r="CW12" i="6"/>
  <c r="CZ12" i="6" s="1"/>
  <c r="CW10" i="6"/>
  <c r="CZ10" i="6" s="1"/>
  <c r="CW16" i="6"/>
  <c r="CZ16" i="6" s="1"/>
  <c r="CW20" i="6"/>
  <c r="CZ20" i="6" s="1"/>
  <c r="CW18" i="6"/>
  <c r="CZ18" i="6" s="1"/>
  <c r="CW14" i="6"/>
  <c r="CZ14" i="6" s="1"/>
  <c r="CW17" i="6"/>
  <c r="CZ17" i="6" s="1"/>
  <c r="CW22" i="6"/>
  <c r="CZ22" i="6" s="1"/>
  <c r="CW16" i="5"/>
  <c r="CZ16" i="5" s="1"/>
  <c r="CW14" i="5"/>
  <c r="CZ14" i="5" s="1"/>
  <c r="CW9" i="5"/>
  <c r="CW19" i="5"/>
  <c r="CZ19" i="5" s="1"/>
  <c r="CW12" i="5"/>
  <c r="CZ12" i="5" s="1"/>
  <c r="CW13" i="5"/>
  <c r="CZ13" i="5" s="1"/>
  <c r="CW11" i="5"/>
  <c r="CZ11" i="5" s="1"/>
  <c r="CW22" i="5"/>
  <c r="CZ22" i="5" s="1"/>
  <c r="CW18" i="5"/>
  <c r="CZ18" i="5" s="1"/>
  <c r="CW17" i="5"/>
  <c r="CZ17" i="5" s="1"/>
  <c r="CW15" i="5"/>
  <c r="CZ15" i="5" s="1"/>
  <c r="CW21" i="5"/>
  <c r="CZ21" i="5" s="1"/>
  <c r="CW10" i="5"/>
  <c r="CZ10" i="5" s="1"/>
  <c r="CW20" i="5"/>
  <c r="CZ20" i="5" s="1"/>
  <c r="CZ9" i="6" l="1"/>
  <c r="CY23" i="6" s="1"/>
  <c r="CW23" i="6"/>
  <c r="CX23" i="6" s="1"/>
  <c r="CZ9" i="5"/>
  <c r="CY23" i="5" s="1"/>
  <c r="CW23" i="5"/>
  <c r="CX23" i="5" s="1"/>
  <c r="DA22" i="6" l="1"/>
  <c r="DB22" i="6" s="1"/>
  <c r="DA12" i="6"/>
  <c r="DB12" i="6" s="1"/>
  <c r="DA10" i="6"/>
  <c r="DB10" i="6" s="1"/>
  <c r="DA20" i="6"/>
  <c r="DB20" i="6" s="1"/>
  <c r="DA14" i="6"/>
  <c r="DB14" i="6" s="1"/>
  <c r="DA17" i="6"/>
  <c r="DB17" i="6" s="1"/>
  <c r="DA16" i="6"/>
  <c r="DB16" i="6" s="1"/>
  <c r="DA18" i="6"/>
  <c r="DB18" i="6" s="1"/>
  <c r="DA11" i="6"/>
  <c r="DB11" i="6" s="1"/>
  <c r="DA19" i="6"/>
  <c r="DB19" i="6" s="1"/>
  <c r="DA15" i="6"/>
  <c r="DB15" i="6" s="1"/>
  <c r="DA13" i="6"/>
  <c r="DB13" i="6" s="1"/>
  <c r="DA21" i="6"/>
  <c r="DB21" i="6" s="1"/>
  <c r="DA9" i="6"/>
  <c r="DB9" i="6" s="1"/>
  <c r="DA18" i="5"/>
  <c r="DB18" i="5" s="1"/>
  <c r="DA15" i="5"/>
  <c r="DB15" i="5" s="1"/>
  <c r="DA17" i="5"/>
  <c r="DB17" i="5" s="1"/>
  <c r="DA19" i="5"/>
  <c r="DB19" i="5" s="1"/>
  <c r="DA13" i="5"/>
  <c r="DB13" i="5" s="1"/>
  <c r="DA16" i="5"/>
  <c r="DB16" i="5" s="1"/>
  <c r="DA20" i="5"/>
  <c r="DB20" i="5" s="1"/>
  <c r="DA22" i="5"/>
  <c r="DB22" i="5" s="1"/>
  <c r="DA9" i="5"/>
  <c r="DB9" i="5" s="1"/>
  <c r="DA11" i="5"/>
  <c r="DB11" i="5" s="1"/>
  <c r="DA10" i="5"/>
  <c r="DB10" i="5" s="1"/>
  <c r="DA21" i="5"/>
  <c r="DB21" i="5" s="1"/>
  <c r="DA12" i="5"/>
  <c r="DB12" i="5" s="1"/>
  <c r="DA14" i="5"/>
  <c r="DB14" i="5" s="1"/>
  <c r="DB23" i="6" l="1"/>
  <c r="DB23" i="5"/>
  <c r="DC16" i="6" l="1"/>
  <c r="DF16" i="6" s="1"/>
  <c r="DC21" i="6"/>
  <c r="DF21" i="6" s="1"/>
  <c r="DC20" i="6"/>
  <c r="DF20" i="6" s="1"/>
  <c r="DC18" i="6"/>
  <c r="DF18" i="6" s="1"/>
  <c r="DC14" i="6"/>
  <c r="DF14" i="6" s="1"/>
  <c r="DC15" i="6"/>
  <c r="DF15" i="6" s="1"/>
  <c r="DC11" i="6"/>
  <c r="DF11" i="6" s="1"/>
  <c r="DC17" i="6"/>
  <c r="DF17" i="6" s="1"/>
  <c r="DC12" i="6"/>
  <c r="DF12" i="6" s="1"/>
  <c r="DC9" i="6"/>
  <c r="DC13" i="6"/>
  <c r="DF13" i="6" s="1"/>
  <c r="DC10" i="6"/>
  <c r="DF10" i="6" s="1"/>
  <c r="DC19" i="6"/>
  <c r="DF19" i="6" s="1"/>
  <c r="DC22" i="6"/>
  <c r="DF22" i="6" s="1"/>
  <c r="DC22" i="5"/>
  <c r="DF22" i="5" s="1"/>
  <c r="DC10" i="5"/>
  <c r="DF10" i="5" s="1"/>
  <c r="DC17" i="5"/>
  <c r="DF17" i="5" s="1"/>
  <c r="DC16" i="5"/>
  <c r="DF16" i="5" s="1"/>
  <c r="DC20" i="5"/>
  <c r="DF20" i="5" s="1"/>
  <c r="DC15" i="5"/>
  <c r="DF15" i="5" s="1"/>
  <c r="DC18" i="5"/>
  <c r="DF18" i="5" s="1"/>
  <c r="DC12" i="5"/>
  <c r="DF12" i="5" s="1"/>
  <c r="DC19" i="5"/>
  <c r="DF19" i="5" s="1"/>
  <c r="DC11" i="5"/>
  <c r="DF11" i="5" s="1"/>
  <c r="DC9" i="5"/>
  <c r="DC14" i="5"/>
  <c r="DF14" i="5" s="1"/>
  <c r="DC21" i="5"/>
  <c r="DF21" i="5" s="1"/>
  <c r="DC13" i="5"/>
  <c r="DF13" i="5" s="1"/>
  <c r="DF9" i="6" l="1"/>
  <c r="DE23" i="6" s="1"/>
  <c r="DC23" i="6"/>
  <c r="DD23" i="6" s="1"/>
  <c r="DF9" i="5"/>
  <c r="DE23" i="5" s="1"/>
  <c r="DC23" i="5"/>
  <c r="DD23" i="5" s="1"/>
  <c r="DG21" i="6" l="1"/>
  <c r="DH21" i="6" s="1"/>
  <c r="DG13" i="6"/>
  <c r="DH13" i="6" s="1"/>
  <c r="DG17" i="6"/>
  <c r="DH17" i="6" s="1"/>
  <c r="DG10" i="6"/>
  <c r="DH10" i="6" s="1"/>
  <c r="DG14" i="6"/>
  <c r="DH14" i="6" s="1"/>
  <c r="DG18" i="6"/>
  <c r="DH18" i="6" s="1"/>
  <c r="DG22" i="6"/>
  <c r="DH22" i="6" s="1"/>
  <c r="DG19" i="6"/>
  <c r="DH19" i="6" s="1"/>
  <c r="DG12" i="6"/>
  <c r="DH12" i="6" s="1"/>
  <c r="DG20" i="6"/>
  <c r="DH20" i="6" s="1"/>
  <c r="DG9" i="6"/>
  <c r="DH9" i="6" s="1"/>
  <c r="DG15" i="6"/>
  <c r="DH15" i="6" s="1"/>
  <c r="DG11" i="6"/>
  <c r="DH11" i="6" s="1"/>
  <c r="DG16" i="6"/>
  <c r="DH16" i="6" s="1"/>
  <c r="DG22" i="5"/>
  <c r="DH22" i="5" s="1"/>
  <c r="DG15" i="5"/>
  <c r="DH15" i="5" s="1"/>
  <c r="DG11" i="5"/>
  <c r="DH11" i="5" s="1"/>
  <c r="DG21" i="5"/>
  <c r="DH21" i="5" s="1"/>
  <c r="DG19" i="5"/>
  <c r="DH19" i="5" s="1"/>
  <c r="DG13" i="5"/>
  <c r="DH13" i="5" s="1"/>
  <c r="DG20" i="5"/>
  <c r="DH20" i="5" s="1"/>
  <c r="DG9" i="5"/>
  <c r="DH9" i="5" s="1"/>
  <c r="DG14" i="5"/>
  <c r="DH14" i="5" s="1"/>
  <c r="DG12" i="5"/>
  <c r="DH12" i="5" s="1"/>
  <c r="DG16" i="5"/>
  <c r="DH16" i="5" s="1"/>
  <c r="DG10" i="5"/>
  <c r="DH10" i="5" s="1"/>
  <c r="DG18" i="5"/>
  <c r="DH18" i="5" s="1"/>
  <c r="DG17" i="5"/>
  <c r="DH17" i="5" s="1"/>
  <c r="DH23" i="6" l="1"/>
  <c r="DH23" i="5"/>
  <c r="DI14" i="6" l="1"/>
  <c r="DL14" i="6" s="1"/>
  <c r="DI15" i="6"/>
  <c r="DL15" i="6" s="1"/>
  <c r="DI20" i="6"/>
  <c r="DL20" i="6" s="1"/>
  <c r="DI19" i="6"/>
  <c r="DL19" i="6" s="1"/>
  <c r="DI10" i="6"/>
  <c r="DL10" i="6" s="1"/>
  <c r="DI9" i="6"/>
  <c r="DI11" i="6"/>
  <c r="DL11" i="6" s="1"/>
  <c r="DI18" i="6"/>
  <c r="DL18" i="6" s="1"/>
  <c r="DI12" i="6"/>
  <c r="DL12" i="6" s="1"/>
  <c r="DI21" i="6"/>
  <c r="DL21" i="6" s="1"/>
  <c r="DI13" i="6"/>
  <c r="DL13" i="6" s="1"/>
  <c r="DI22" i="6"/>
  <c r="DL22" i="6" s="1"/>
  <c r="DI16" i="6"/>
  <c r="DL16" i="6" s="1"/>
  <c r="DI17" i="6"/>
  <c r="DL17" i="6" s="1"/>
  <c r="DI13" i="5"/>
  <c r="DL13" i="5" s="1"/>
  <c r="DI16" i="5"/>
  <c r="DL16" i="5" s="1"/>
  <c r="DI9" i="5"/>
  <c r="DI14" i="5"/>
  <c r="DL14" i="5" s="1"/>
  <c r="DI19" i="5"/>
  <c r="DL19" i="5" s="1"/>
  <c r="DI11" i="5"/>
  <c r="DL11" i="5" s="1"/>
  <c r="DI17" i="5"/>
  <c r="DL17" i="5" s="1"/>
  <c r="DI18" i="5"/>
  <c r="DL18" i="5" s="1"/>
  <c r="DI22" i="5"/>
  <c r="DL22" i="5" s="1"/>
  <c r="DI21" i="5"/>
  <c r="DL21" i="5" s="1"/>
  <c r="DI15" i="5"/>
  <c r="DL15" i="5" s="1"/>
  <c r="DI12" i="5"/>
  <c r="DL12" i="5" s="1"/>
  <c r="DI20" i="5"/>
  <c r="DL20" i="5" s="1"/>
  <c r="DI10" i="5"/>
  <c r="DL10" i="5" s="1"/>
  <c r="DL9" i="6" l="1"/>
  <c r="DK23" i="6" s="1"/>
  <c r="DI23" i="6"/>
  <c r="DJ23" i="6" s="1"/>
  <c r="DL9" i="5"/>
  <c r="DK23" i="5" s="1"/>
  <c r="DI23" i="5"/>
  <c r="DJ23" i="5" s="1"/>
  <c r="DM20" i="6" l="1"/>
  <c r="DN20" i="6" s="1"/>
  <c r="DM12" i="6"/>
  <c r="DN12" i="6" s="1"/>
  <c r="DM18" i="6"/>
  <c r="DN18" i="6" s="1"/>
  <c r="DM10" i="6"/>
  <c r="DN10" i="6" s="1"/>
  <c r="DM13" i="6"/>
  <c r="DN13" i="6" s="1"/>
  <c r="DM15" i="6"/>
  <c r="DN15" i="6" s="1"/>
  <c r="DM17" i="6"/>
  <c r="DN17" i="6" s="1"/>
  <c r="DM16" i="6"/>
  <c r="DN16" i="6" s="1"/>
  <c r="DM11" i="6"/>
  <c r="DN11" i="6" s="1"/>
  <c r="DM22" i="6"/>
  <c r="DN22" i="6" s="1"/>
  <c r="DM9" i="6"/>
  <c r="DN9" i="6" s="1"/>
  <c r="DM14" i="6"/>
  <c r="DN14" i="6" s="1"/>
  <c r="DM19" i="6"/>
  <c r="DN19" i="6" s="1"/>
  <c r="DM21" i="6"/>
  <c r="DN21" i="6" s="1"/>
  <c r="DM22" i="5"/>
  <c r="DN22" i="5" s="1"/>
  <c r="DM21" i="5"/>
  <c r="DN21" i="5" s="1"/>
  <c r="DM17" i="5"/>
  <c r="DN17" i="5" s="1"/>
  <c r="DM20" i="5"/>
  <c r="DN20" i="5" s="1"/>
  <c r="DM16" i="5"/>
  <c r="DN16" i="5" s="1"/>
  <c r="DM10" i="5"/>
  <c r="DN10" i="5" s="1"/>
  <c r="DM11" i="5"/>
  <c r="DN11" i="5" s="1"/>
  <c r="DM12" i="5"/>
  <c r="DN12" i="5" s="1"/>
  <c r="DM18" i="5"/>
  <c r="DN18" i="5" s="1"/>
  <c r="DM19" i="5"/>
  <c r="DN19" i="5" s="1"/>
  <c r="DM9" i="5"/>
  <c r="DN9" i="5" s="1"/>
  <c r="DM13" i="5"/>
  <c r="DN13" i="5" s="1"/>
  <c r="DM14" i="5"/>
  <c r="DN14" i="5" s="1"/>
  <c r="DM15" i="5"/>
  <c r="DN15" i="5" s="1"/>
  <c r="DN23" i="6" l="1"/>
  <c r="DN23" i="5"/>
  <c r="DO20" i="6" l="1"/>
  <c r="DR20" i="6" s="1"/>
  <c r="DO21" i="6"/>
  <c r="DR21" i="6" s="1"/>
  <c r="DO9" i="6"/>
  <c r="DO18" i="6"/>
  <c r="DR18" i="6" s="1"/>
  <c r="DO19" i="6"/>
  <c r="DR19" i="6" s="1"/>
  <c r="DO15" i="6"/>
  <c r="DR15" i="6" s="1"/>
  <c r="DO10" i="6"/>
  <c r="DR10" i="6" s="1"/>
  <c r="DO22" i="6"/>
  <c r="DR22" i="6" s="1"/>
  <c r="DO11" i="6"/>
  <c r="DR11" i="6" s="1"/>
  <c r="DO12" i="6"/>
  <c r="DR12" i="6" s="1"/>
  <c r="DO16" i="6"/>
  <c r="DR16" i="6" s="1"/>
  <c r="DO14" i="6"/>
  <c r="DR14" i="6" s="1"/>
  <c r="DO17" i="6"/>
  <c r="DR17" i="6" s="1"/>
  <c r="DO13" i="6"/>
  <c r="DR13" i="6" s="1"/>
  <c r="DO18" i="5"/>
  <c r="DR18" i="5" s="1"/>
  <c r="DO10" i="5"/>
  <c r="DR10" i="5" s="1"/>
  <c r="DO11" i="5"/>
  <c r="DR11" i="5" s="1"/>
  <c r="DO19" i="5"/>
  <c r="DR19" i="5" s="1"/>
  <c r="DO14" i="5"/>
  <c r="DR14" i="5" s="1"/>
  <c r="DO21" i="5"/>
  <c r="DR21" i="5" s="1"/>
  <c r="DO20" i="5"/>
  <c r="DR20" i="5" s="1"/>
  <c r="DO12" i="5"/>
  <c r="DR12" i="5" s="1"/>
  <c r="DO9" i="5"/>
  <c r="DO15" i="5"/>
  <c r="DR15" i="5" s="1"/>
  <c r="DO16" i="5"/>
  <c r="DR16" i="5" s="1"/>
  <c r="DO13" i="5"/>
  <c r="DR13" i="5" s="1"/>
  <c r="DO22" i="5"/>
  <c r="DR22" i="5" s="1"/>
  <c r="DO17" i="5"/>
  <c r="DR17" i="5" s="1"/>
  <c r="DR9" i="6" l="1"/>
  <c r="DQ23" i="6" s="1"/>
  <c r="DO23" i="6"/>
  <c r="DP23" i="6" s="1"/>
  <c r="DR9" i="5"/>
  <c r="DQ23" i="5" s="1"/>
  <c r="DO23" i="5"/>
  <c r="DP23" i="5" s="1"/>
  <c r="DS22" i="6" l="1"/>
  <c r="DT22" i="6" s="1"/>
  <c r="DS13" i="6"/>
  <c r="DT13" i="6" s="1"/>
  <c r="DS19" i="6"/>
  <c r="DT19" i="6" s="1"/>
  <c r="DS18" i="6"/>
  <c r="DT18" i="6" s="1"/>
  <c r="DS14" i="6"/>
  <c r="DT14" i="6" s="1"/>
  <c r="DS16" i="6"/>
  <c r="DT16" i="6" s="1"/>
  <c r="DS20" i="6"/>
  <c r="DT20" i="6" s="1"/>
  <c r="DS21" i="6"/>
  <c r="DT21" i="6" s="1"/>
  <c r="DS12" i="6"/>
  <c r="DT12" i="6" s="1"/>
  <c r="DS15" i="6"/>
  <c r="DT15" i="6" s="1"/>
  <c r="DS10" i="6"/>
  <c r="DT10" i="6" s="1"/>
  <c r="DS17" i="6"/>
  <c r="DT17" i="6" s="1"/>
  <c r="DS11" i="6"/>
  <c r="DT11" i="6" s="1"/>
  <c r="DS9" i="6"/>
  <c r="DT9" i="6" s="1"/>
  <c r="DS21" i="5"/>
  <c r="DT21" i="5" s="1"/>
  <c r="DS13" i="5"/>
  <c r="DT13" i="5" s="1"/>
  <c r="DS19" i="5"/>
  <c r="DT19" i="5" s="1"/>
  <c r="DS16" i="5"/>
  <c r="DT16" i="5" s="1"/>
  <c r="DS12" i="5"/>
  <c r="DT12" i="5" s="1"/>
  <c r="DS17" i="5"/>
  <c r="DT17" i="5" s="1"/>
  <c r="DS15" i="5"/>
  <c r="DT15" i="5" s="1"/>
  <c r="DS22" i="5"/>
  <c r="DT22" i="5" s="1"/>
  <c r="DS10" i="5"/>
  <c r="DT10" i="5" s="1"/>
  <c r="DS11" i="5"/>
  <c r="DT11" i="5" s="1"/>
  <c r="DS14" i="5"/>
  <c r="DT14" i="5" s="1"/>
  <c r="DS18" i="5"/>
  <c r="DT18" i="5" s="1"/>
  <c r="DS20" i="5"/>
  <c r="DT20" i="5" s="1"/>
  <c r="DS9" i="5"/>
  <c r="DT9" i="5" s="1"/>
  <c r="DT23" i="6" l="1"/>
  <c r="DT23" i="5"/>
  <c r="DU19" i="6" l="1"/>
  <c r="DX19" i="6" s="1"/>
  <c r="DU20" i="6"/>
  <c r="DX20" i="6" s="1"/>
  <c r="DU10" i="6"/>
  <c r="DX10" i="6" s="1"/>
  <c r="DU11" i="6"/>
  <c r="DX11" i="6" s="1"/>
  <c r="DU13" i="6"/>
  <c r="DX13" i="6" s="1"/>
  <c r="DU9" i="6"/>
  <c r="DU21" i="6"/>
  <c r="DX21" i="6" s="1"/>
  <c r="DU14" i="6"/>
  <c r="DX14" i="6" s="1"/>
  <c r="DU17" i="6"/>
  <c r="DX17" i="6" s="1"/>
  <c r="DU16" i="6"/>
  <c r="DX16" i="6" s="1"/>
  <c r="DU18" i="6"/>
  <c r="DX18" i="6" s="1"/>
  <c r="DU12" i="6"/>
  <c r="DX12" i="6" s="1"/>
  <c r="DU22" i="6"/>
  <c r="DX22" i="6" s="1"/>
  <c r="DU15" i="6"/>
  <c r="DX15" i="6" s="1"/>
  <c r="DU17" i="5"/>
  <c r="DX17" i="5" s="1"/>
  <c r="DU14" i="5"/>
  <c r="DX14" i="5" s="1"/>
  <c r="DU16" i="5"/>
  <c r="DX16" i="5" s="1"/>
  <c r="DU13" i="5"/>
  <c r="DX13" i="5" s="1"/>
  <c r="DU22" i="5"/>
  <c r="DX22" i="5" s="1"/>
  <c r="DU15" i="5"/>
  <c r="DX15" i="5" s="1"/>
  <c r="DU9" i="5"/>
  <c r="DU20" i="5"/>
  <c r="DX20" i="5" s="1"/>
  <c r="DU12" i="5"/>
  <c r="DX12" i="5" s="1"/>
  <c r="DU11" i="5"/>
  <c r="DX11" i="5" s="1"/>
  <c r="DU18" i="5"/>
  <c r="DX18" i="5" s="1"/>
  <c r="DU21" i="5"/>
  <c r="DX21" i="5" s="1"/>
  <c r="DU10" i="5"/>
  <c r="DX10" i="5" s="1"/>
  <c r="DU19" i="5"/>
  <c r="DX19" i="5" s="1"/>
  <c r="DX9" i="6" l="1"/>
  <c r="DW23" i="6" s="1"/>
  <c r="DU23" i="6"/>
  <c r="DV23" i="6" s="1"/>
  <c r="DX9" i="5"/>
  <c r="DW23" i="5" s="1"/>
  <c r="DU23" i="5"/>
  <c r="DV23" i="5" s="1"/>
  <c r="DY22" i="6" l="1"/>
  <c r="DZ22" i="6" s="1"/>
  <c r="DY13" i="6"/>
  <c r="DZ13" i="6" s="1"/>
  <c r="DY21" i="6"/>
  <c r="DZ21" i="6" s="1"/>
  <c r="DY19" i="6"/>
  <c r="DZ19" i="6" s="1"/>
  <c r="DY14" i="6"/>
  <c r="DZ14" i="6" s="1"/>
  <c r="DY17" i="6"/>
  <c r="DZ17" i="6" s="1"/>
  <c r="DY9" i="6"/>
  <c r="DZ9" i="6" s="1"/>
  <c r="DY20" i="6"/>
  <c r="DZ20" i="6" s="1"/>
  <c r="DY12" i="6"/>
  <c r="DZ12" i="6" s="1"/>
  <c r="DY15" i="6"/>
  <c r="DZ15" i="6" s="1"/>
  <c r="DY16" i="6"/>
  <c r="DZ16" i="6" s="1"/>
  <c r="DY18" i="6"/>
  <c r="DZ18" i="6" s="1"/>
  <c r="DY11" i="6"/>
  <c r="DZ11" i="6" s="1"/>
  <c r="DY10" i="6"/>
  <c r="DZ10" i="6" s="1"/>
  <c r="DY18" i="5"/>
  <c r="DZ18" i="5" s="1"/>
  <c r="DY20" i="5"/>
  <c r="DZ20" i="5" s="1"/>
  <c r="DY13" i="5"/>
  <c r="DZ13" i="5" s="1"/>
  <c r="DY21" i="5"/>
  <c r="DZ21" i="5" s="1"/>
  <c r="DY19" i="5"/>
  <c r="DZ19" i="5" s="1"/>
  <c r="DY10" i="5"/>
  <c r="DZ10" i="5" s="1"/>
  <c r="DY15" i="5"/>
  <c r="DZ15" i="5" s="1"/>
  <c r="DY16" i="5"/>
  <c r="DZ16" i="5" s="1"/>
  <c r="DY17" i="5"/>
  <c r="DZ17" i="5" s="1"/>
  <c r="DY9" i="5"/>
  <c r="DZ9" i="5" s="1"/>
  <c r="DY22" i="5"/>
  <c r="DZ22" i="5" s="1"/>
  <c r="DY11" i="5"/>
  <c r="DZ11" i="5" s="1"/>
  <c r="DY12" i="5"/>
  <c r="DZ12" i="5" s="1"/>
  <c r="DY14" i="5"/>
  <c r="DZ14" i="5" s="1"/>
  <c r="DZ23" i="6" l="1"/>
  <c r="DZ23" i="5"/>
  <c r="EA18" i="6" l="1"/>
  <c r="ED18" i="6" s="1"/>
  <c r="EA21" i="6"/>
  <c r="ED21" i="6" s="1"/>
  <c r="EA12" i="6"/>
  <c r="ED12" i="6" s="1"/>
  <c r="EA20" i="6"/>
  <c r="ED20" i="6" s="1"/>
  <c r="EA17" i="6"/>
  <c r="ED17" i="6" s="1"/>
  <c r="EA14" i="6"/>
  <c r="ED14" i="6" s="1"/>
  <c r="EA11" i="6"/>
  <c r="ED11" i="6" s="1"/>
  <c r="EA16" i="6"/>
  <c r="ED16" i="6" s="1"/>
  <c r="EA19" i="6"/>
  <c r="ED19" i="6" s="1"/>
  <c r="EA22" i="6"/>
  <c r="ED22" i="6" s="1"/>
  <c r="EA10" i="6"/>
  <c r="ED10" i="6" s="1"/>
  <c r="EA9" i="6"/>
  <c r="EA15" i="6"/>
  <c r="ED15" i="6" s="1"/>
  <c r="EA13" i="6"/>
  <c r="ED13" i="6" s="1"/>
  <c r="EA20" i="5"/>
  <c r="ED20" i="5" s="1"/>
  <c r="EA12" i="5"/>
  <c r="ED12" i="5" s="1"/>
  <c r="EA16" i="5"/>
  <c r="ED16" i="5" s="1"/>
  <c r="EA21" i="5"/>
  <c r="ED21" i="5" s="1"/>
  <c r="EA17" i="5"/>
  <c r="ED17" i="5" s="1"/>
  <c r="EA18" i="5"/>
  <c r="ED18" i="5" s="1"/>
  <c r="EA15" i="5"/>
  <c r="ED15" i="5" s="1"/>
  <c r="EA13" i="5"/>
  <c r="ED13" i="5" s="1"/>
  <c r="EA11" i="5"/>
  <c r="ED11" i="5" s="1"/>
  <c r="EA14" i="5"/>
  <c r="ED14" i="5" s="1"/>
  <c r="EA9" i="5"/>
  <c r="EA22" i="5"/>
  <c r="ED22" i="5" s="1"/>
  <c r="EA10" i="5"/>
  <c r="ED10" i="5" s="1"/>
  <c r="EA19" i="5"/>
  <c r="ED19" i="5" s="1"/>
  <c r="ED9" i="6" l="1"/>
  <c r="EC23" i="6" s="1"/>
  <c r="EA23" i="6"/>
  <c r="EB23" i="6" s="1"/>
  <c r="ED9" i="5"/>
  <c r="EC23" i="5" s="1"/>
  <c r="EA23" i="5"/>
  <c r="EB23" i="5" s="1"/>
  <c r="EE21" i="6" l="1"/>
  <c r="EF21" i="6" s="1"/>
  <c r="EE13" i="6"/>
  <c r="EF13" i="6" s="1"/>
  <c r="EE18" i="6"/>
  <c r="EF18" i="6" s="1"/>
  <c r="EE10" i="6"/>
  <c r="EF10" i="6" s="1"/>
  <c r="EE19" i="6"/>
  <c r="EF19" i="6" s="1"/>
  <c r="EE12" i="6"/>
  <c r="EF12" i="6" s="1"/>
  <c r="EE16" i="6"/>
  <c r="EF16" i="6" s="1"/>
  <c r="EE9" i="6"/>
  <c r="EF9" i="6" s="1"/>
  <c r="EE15" i="6"/>
  <c r="EF15" i="6" s="1"/>
  <c r="EE11" i="6"/>
  <c r="EF11" i="6" s="1"/>
  <c r="EE17" i="6"/>
  <c r="EF17" i="6" s="1"/>
  <c r="EE14" i="6"/>
  <c r="EF14" i="6" s="1"/>
  <c r="EE22" i="6"/>
  <c r="EF22" i="6" s="1"/>
  <c r="EE20" i="6"/>
  <c r="EF20" i="6" s="1"/>
  <c r="EE19" i="5"/>
  <c r="EF19" i="5" s="1"/>
  <c r="EE21" i="5"/>
  <c r="EF21" i="5" s="1"/>
  <c r="EE12" i="5"/>
  <c r="EF12" i="5" s="1"/>
  <c r="EE18" i="5"/>
  <c r="EF18" i="5" s="1"/>
  <c r="EE13" i="5"/>
  <c r="EF13" i="5" s="1"/>
  <c r="EE11" i="5"/>
  <c r="EF11" i="5" s="1"/>
  <c r="EE14" i="5"/>
  <c r="EF14" i="5" s="1"/>
  <c r="EE16" i="5"/>
  <c r="EF16" i="5" s="1"/>
  <c r="EE9" i="5"/>
  <c r="EF9" i="5" s="1"/>
  <c r="EE22" i="5"/>
  <c r="EF22" i="5" s="1"/>
  <c r="EE15" i="5"/>
  <c r="EF15" i="5" s="1"/>
  <c r="EE20" i="5"/>
  <c r="EF20" i="5" s="1"/>
  <c r="EE17" i="5"/>
  <c r="EF17" i="5" s="1"/>
  <c r="EE10" i="5"/>
  <c r="EF10" i="5" s="1"/>
  <c r="EF23" i="6" l="1"/>
  <c r="EF23" i="5"/>
  <c r="EG22" i="6" l="1"/>
  <c r="EJ22" i="6" s="1"/>
  <c r="EG12" i="6"/>
  <c r="EJ12" i="6" s="1"/>
  <c r="EG10" i="6"/>
  <c r="EJ10" i="6" s="1"/>
  <c r="EG18" i="6"/>
  <c r="EJ18" i="6" s="1"/>
  <c r="EG9" i="6"/>
  <c r="EG21" i="6"/>
  <c r="EJ21" i="6" s="1"/>
  <c r="EG11" i="6"/>
  <c r="EJ11" i="6" s="1"/>
  <c r="EG14" i="6"/>
  <c r="EJ14" i="6" s="1"/>
  <c r="EG20" i="6"/>
  <c r="EJ20" i="6" s="1"/>
  <c r="EG13" i="6"/>
  <c r="EJ13" i="6" s="1"/>
  <c r="EG17" i="6"/>
  <c r="EJ17" i="6" s="1"/>
  <c r="EG16" i="6"/>
  <c r="EJ16" i="6" s="1"/>
  <c r="EG15" i="6"/>
  <c r="EJ15" i="6" s="1"/>
  <c r="EG19" i="6"/>
  <c r="EJ19" i="6" s="1"/>
  <c r="EG13" i="5"/>
  <c r="EJ13" i="5" s="1"/>
  <c r="EG19" i="5"/>
  <c r="EJ19" i="5" s="1"/>
  <c r="EG22" i="5"/>
  <c r="EJ22" i="5" s="1"/>
  <c r="EG11" i="5"/>
  <c r="EJ11" i="5" s="1"/>
  <c r="EG16" i="5"/>
  <c r="EJ16" i="5" s="1"/>
  <c r="EG17" i="5"/>
  <c r="EJ17" i="5" s="1"/>
  <c r="EG21" i="5"/>
  <c r="EJ21" i="5" s="1"/>
  <c r="EG18" i="5"/>
  <c r="EJ18" i="5" s="1"/>
  <c r="EG20" i="5"/>
  <c r="EJ20" i="5" s="1"/>
  <c r="EG12" i="5"/>
  <c r="EJ12" i="5" s="1"/>
  <c r="EG10" i="5"/>
  <c r="EJ10" i="5" s="1"/>
  <c r="EG14" i="5"/>
  <c r="EJ14" i="5" s="1"/>
  <c r="EG9" i="5"/>
  <c r="EG15" i="5"/>
  <c r="EJ15" i="5" s="1"/>
  <c r="EJ9" i="6" l="1"/>
  <c r="EI23" i="6" s="1"/>
  <c r="EG23" i="6"/>
  <c r="EH23" i="6" s="1"/>
  <c r="EJ9" i="5"/>
  <c r="EI23" i="5" s="1"/>
  <c r="EG23" i="5"/>
  <c r="EH23" i="5" s="1"/>
  <c r="EK22" i="6" l="1"/>
  <c r="EL22" i="6" s="1"/>
  <c r="EK13" i="6"/>
  <c r="EL13" i="6" s="1"/>
  <c r="EK15" i="6"/>
  <c r="EL15" i="6" s="1"/>
  <c r="EK10" i="6"/>
  <c r="EL10" i="6" s="1"/>
  <c r="EK16" i="6"/>
  <c r="EL16" i="6" s="1"/>
  <c r="EK11" i="6"/>
  <c r="EL11" i="6" s="1"/>
  <c r="EK18" i="6"/>
  <c r="EL18" i="6" s="1"/>
  <c r="EK20" i="6"/>
  <c r="EL20" i="6" s="1"/>
  <c r="EK12" i="6"/>
  <c r="EL12" i="6" s="1"/>
  <c r="EK21" i="6"/>
  <c r="EL21" i="6" s="1"/>
  <c r="EK9" i="6"/>
  <c r="EL9" i="6" s="1"/>
  <c r="EK14" i="6"/>
  <c r="EL14" i="6" s="1"/>
  <c r="EK19" i="6"/>
  <c r="EL19" i="6" s="1"/>
  <c r="EK17" i="6"/>
  <c r="EL17" i="6" s="1"/>
  <c r="EK22" i="5"/>
  <c r="EL22" i="5" s="1"/>
  <c r="EK19" i="5"/>
  <c r="EL19" i="5" s="1"/>
  <c r="EK17" i="5"/>
  <c r="EL17" i="5" s="1"/>
  <c r="EK20" i="5"/>
  <c r="EL20" i="5" s="1"/>
  <c r="EK12" i="5"/>
  <c r="EL12" i="5" s="1"/>
  <c r="EK13" i="5"/>
  <c r="EL13" i="5" s="1"/>
  <c r="EK15" i="5"/>
  <c r="EL15" i="5" s="1"/>
  <c r="EK14" i="5"/>
  <c r="EL14" i="5" s="1"/>
  <c r="EK10" i="5"/>
  <c r="EL10" i="5" s="1"/>
  <c r="EK11" i="5"/>
  <c r="EL11" i="5" s="1"/>
  <c r="EK16" i="5"/>
  <c r="EL16" i="5" s="1"/>
  <c r="EK9" i="5"/>
  <c r="EL9" i="5" s="1"/>
  <c r="EK21" i="5"/>
  <c r="EL21" i="5" s="1"/>
  <c r="EK18" i="5"/>
  <c r="EL18" i="5" s="1"/>
  <c r="EL23" i="6" l="1"/>
  <c r="EL23" i="5"/>
  <c r="EM20" i="6" l="1"/>
  <c r="EP20" i="6" s="1"/>
  <c r="EM19" i="6"/>
  <c r="EP19" i="6" s="1"/>
  <c r="EM10" i="6"/>
  <c r="EP10" i="6" s="1"/>
  <c r="EM11" i="6"/>
  <c r="EP11" i="6" s="1"/>
  <c r="EM16" i="6"/>
  <c r="EP16" i="6" s="1"/>
  <c r="EM12" i="6"/>
  <c r="EP12" i="6" s="1"/>
  <c r="EM22" i="6"/>
  <c r="EP22" i="6" s="1"/>
  <c r="EM18" i="6"/>
  <c r="EP18" i="6" s="1"/>
  <c r="EM15" i="6"/>
  <c r="EP15" i="6" s="1"/>
  <c r="EM17" i="6"/>
  <c r="EP17" i="6" s="1"/>
  <c r="EM21" i="6"/>
  <c r="EP21" i="6" s="1"/>
  <c r="EM9" i="6"/>
  <c r="EM14" i="6"/>
  <c r="EP14" i="6" s="1"/>
  <c r="EM13" i="6"/>
  <c r="EP13" i="6" s="1"/>
  <c r="EM20" i="5"/>
  <c r="EP20" i="5" s="1"/>
  <c r="EM18" i="5"/>
  <c r="EP18" i="5" s="1"/>
  <c r="EM11" i="5"/>
  <c r="EP11" i="5" s="1"/>
  <c r="EM21" i="5"/>
  <c r="EP21" i="5" s="1"/>
  <c r="EM22" i="5"/>
  <c r="EP22" i="5" s="1"/>
  <c r="EM15" i="5"/>
  <c r="EP15" i="5" s="1"/>
  <c r="EM16" i="5"/>
  <c r="EP16" i="5" s="1"/>
  <c r="EM10" i="5"/>
  <c r="EP10" i="5" s="1"/>
  <c r="EM19" i="5"/>
  <c r="EP19" i="5" s="1"/>
  <c r="EM9" i="5"/>
  <c r="EM13" i="5"/>
  <c r="EP13" i="5" s="1"/>
  <c r="EM12" i="5"/>
  <c r="EP12" i="5" s="1"/>
  <c r="EM17" i="5"/>
  <c r="EP17" i="5" s="1"/>
  <c r="EM14" i="5"/>
  <c r="EP14" i="5" s="1"/>
  <c r="EP9" i="6" l="1"/>
  <c r="EO23" i="6" s="1"/>
  <c r="EM23" i="6"/>
  <c r="EN23" i="6" s="1"/>
  <c r="EP9" i="5"/>
  <c r="EO23" i="5" s="1"/>
  <c r="EM23" i="5"/>
  <c r="EN23" i="5" s="1"/>
  <c r="EQ22" i="6" l="1"/>
  <c r="ER22" i="6" s="1"/>
  <c r="EQ13" i="6"/>
  <c r="ER13" i="6" s="1"/>
  <c r="EQ19" i="6"/>
  <c r="ER19" i="6" s="1"/>
  <c r="EQ10" i="6"/>
  <c r="ER10" i="6" s="1"/>
  <c r="EQ17" i="6"/>
  <c r="ER17" i="6" s="1"/>
  <c r="EQ11" i="6"/>
  <c r="ER11" i="6" s="1"/>
  <c r="EQ9" i="6"/>
  <c r="ER9" i="6" s="1"/>
  <c r="EQ21" i="6"/>
  <c r="ER21" i="6" s="1"/>
  <c r="EQ12" i="6"/>
  <c r="ER12" i="6" s="1"/>
  <c r="EQ15" i="6"/>
  <c r="ER15" i="6" s="1"/>
  <c r="EQ18" i="6"/>
  <c r="ER18" i="6" s="1"/>
  <c r="EQ14" i="6"/>
  <c r="ER14" i="6" s="1"/>
  <c r="EQ16" i="6"/>
  <c r="ER16" i="6" s="1"/>
  <c r="EQ20" i="6"/>
  <c r="ER20" i="6" s="1"/>
  <c r="EQ18" i="5"/>
  <c r="ER18" i="5" s="1"/>
  <c r="EQ17" i="5"/>
  <c r="ER17" i="5" s="1"/>
  <c r="EQ22" i="5"/>
  <c r="ER22" i="5" s="1"/>
  <c r="EQ19" i="5"/>
  <c r="ER19" i="5" s="1"/>
  <c r="EQ20" i="5"/>
  <c r="ER20" i="5" s="1"/>
  <c r="EQ21" i="5"/>
  <c r="ER21" i="5" s="1"/>
  <c r="EQ16" i="5"/>
  <c r="ER16" i="5" s="1"/>
  <c r="EQ9" i="5"/>
  <c r="ER9" i="5" s="1"/>
  <c r="EQ12" i="5"/>
  <c r="ER12" i="5" s="1"/>
  <c r="EQ14" i="5"/>
  <c r="ER14" i="5" s="1"/>
  <c r="EQ15" i="5"/>
  <c r="ER15" i="5" s="1"/>
  <c r="EQ10" i="5"/>
  <c r="ER10" i="5" s="1"/>
  <c r="EQ11" i="5"/>
  <c r="ER11" i="5" s="1"/>
  <c r="EQ13" i="5"/>
  <c r="ER13" i="5" s="1"/>
  <c r="ER23" i="6" l="1"/>
  <c r="ER23" i="5"/>
  <c r="ES15" i="6" l="1"/>
  <c r="EV15" i="6" s="1"/>
  <c r="ES14" i="6"/>
  <c r="EV14" i="6" s="1"/>
  <c r="ES18" i="6"/>
  <c r="EV18" i="6" s="1"/>
  <c r="ES9" i="6"/>
  <c r="ES12" i="6"/>
  <c r="EV12" i="6" s="1"/>
  <c r="ES17" i="6"/>
  <c r="EV17" i="6" s="1"/>
  <c r="ES13" i="6"/>
  <c r="EV13" i="6" s="1"/>
  <c r="ES19" i="6"/>
  <c r="EV19" i="6" s="1"/>
  <c r="ES21" i="6"/>
  <c r="EV21" i="6" s="1"/>
  <c r="ES10" i="6"/>
  <c r="EV10" i="6" s="1"/>
  <c r="ES11" i="6"/>
  <c r="EV11" i="6" s="1"/>
  <c r="ES16" i="6"/>
  <c r="EV16" i="6" s="1"/>
  <c r="ES20" i="6"/>
  <c r="EV20" i="6" s="1"/>
  <c r="ES22" i="6"/>
  <c r="EV22" i="6" s="1"/>
  <c r="ES10" i="5"/>
  <c r="EV10" i="5" s="1"/>
  <c r="ES20" i="5"/>
  <c r="EV20" i="5" s="1"/>
  <c r="ES21" i="5"/>
  <c r="EV21" i="5" s="1"/>
  <c r="ES16" i="5"/>
  <c r="EV16" i="5" s="1"/>
  <c r="ES15" i="5"/>
  <c r="EV15" i="5" s="1"/>
  <c r="ES12" i="5"/>
  <c r="EV12" i="5" s="1"/>
  <c r="ES19" i="5"/>
  <c r="EV19" i="5" s="1"/>
  <c r="ES13" i="5"/>
  <c r="EV13" i="5" s="1"/>
  <c r="ES11" i="5"/>
  <c r="EV11" i="5" s="1"/>
  <c r="ES22" i="5"/>
  <c r="EV22" i="5" s="1"/>
  <c r="ES14" i="5"/>
  <c r="EV14" i="5" s="1"/>
  <c r="ES17" i="5"/>
  <c r="EV17" i="5" s="1"/>
  <c r="ES9" i="5"/>
  <c r="ES18" i="5"/>
  <c r="EV18" i="5" s="1"/>
  <c r="EV9" i="6" l="1"/>
  <c r="EU23" i="6" s="1"/>
  <c r="ES23" i="6"/>
  <c r="ET23" i="6" s="1"/>
  <c r="EV9" i="5"/>
  <c r="EU23" i="5" s="1"/>
  <c r="ES23" i="5"/>
  <c r="ET23" i="5" s="1"/>
  <c r="EW22" i="6" l="1"/>
  <c r="EX22" i="6" s="1"/>
  <c r="EW13" i="6"/>
  <c r="EX13" i="6" s="1"/>
  <c r="EW21" i="6"/>
  <c r="EX21" i="6" s="1"/>
  <c r="EW15" i="6"/>
  <c r="EX15" i="6" s="1"/>
  <c r="EW11" i="6"/>
  <c r="EX11" i="6" s="1"/>
  <c r="EW20" i="6"/>
  <c r="EX20" i="6" s="1"/>
  <c r="EW12" i="6"/>
  <c r="EX12" i="6" s="1"/>
  <c r="EW10" i="6"/>
  <c r="EX10" i="6" s="1"/>
  <c r="EW9" i="6"/>
  <c r="EX9" i="6" s="1"/>
  <c r="EW18" i="6"/>
  <c r="EX18" i="6" s="1"/>
  <c r="EW19" i="6"/>
  <c r="EX19" i="6" s="1"/>
  <c r="EW14" i="6"/>
  <c r="EX14" i="6" s="1"/>
  <c r="EW17" i="6"/>
  <c r="EX17" i="6" s="1"/>
  <c r="EW16" i="6"/>
  <c r="EX16" i="6" s="1"/>
  <c r="EW18" i="5"/>
  <c r="EX18" i="5" s="1"/>
  <c r="EW21" i="5"/>
  <c r="EX21" i="5" s="1"/>
  <c r="EW9" i="5"/>
  <c r="EX9" i="5" s="1"/>
  <c r="EW19" i="5"/>
  <c r="EX19" i="5" s="1"/>
  <c r="EW11" i="5"/>
  <c r="EX11" i="5" s="1"/>
  <c r="EW22" i="5"/>
  <c r="EX22" i="5" s="1"/>
  <c r="EW14" i="5"/>
  <c r="EX14" i="5" s="1"/>
  <c r="EW12" i="5"/>
  <c r="EX12" i="5" s="1"/>
  <c r="EW13" i="5"/>
  <c r="EX13" i="5" s="1"/>
  <c r="EW20" i="5"/>
  <c r="EX20" i="5" s="1"/>
  <c r="EW10" i="5"/>
  <c r="EX10" i="5" s="1"/>
  <c r="EW16" i="5"/>
  <c r="EX16" i="5" s="1"/>
  <c r="EW17" i="5"/>
  <c r="EX17" i="5" s="1"/>
  <c r="EW15" i="5"/>
  <c r="EX15" i="5" s="1"/>
  <c r="EX23" i="6" l="1"/>
  <c r="EX23" i="5"/>
  <c r="EY18" i="6" l="1"/>
  <c r="FB18" i="6" s="1"/>
  <c r="EY10" i="6"/>
  <c r="FB10" i="6" s="1"/>
  <c r="EY19" i="6"/>
  <c r="FB19" i="6" s="1"/>
  <c r="EY22" i="6"/>
  <c r="FB22" i="6" s="1"/>
  <c r="EY17" i="6"/>
  <c r="FB17" i="6" s="1"/>
  <c r="EY9" i="6"/>
  <c r="EY11" i="6"/>
  <c r="FB11" i="6" s="1"/>
  <c r="EY15" i="6"/>
  <c r="FB15" i="6" s="1"/>
  <c r="EY12" i="6"/>
  <c r="FB12" i="6" s="1"/>
  <c r="EY21" i="6"/>
  <c r="FB21" i="6" s="1"/>
  <c r="EY13" i="6"/>
  <c r="FB13" i="6" s="1"/>
  <c r="EY14" i="6"/>
  <c r="FB14" i="6" s="1"/>
  <c r="EY16" i="6"/>
  <c r="FB16" i="6" s="1"/>
  <c r="EY20" i="6"/>
  <c r="FB20" i="6" s="1"/>
  <c r="EY11" i="5"/>
  <c r="FB11" i="5" s="1"/>
  <c r="EY18" i="5"/>
  <c r="FB18" i="5" s="1"/>
  <c r="EY9" i="5"/>
  <c r="EY20" i="5"/>
  <c r="FB20" i="5" s="1"/>
  <c r="EY19" i="5"/>
  <c r="FB19" i="5" s="1"/>
  <c r="EY12" i="5"/>
  <c r="FB12" i="5" s="1"/>
  <c r="EY22" i="5"/>
  <c r="FB22" i="5" s="1"/>
  <c r="EY14" i="5"/>
  <c r="FB14" i="5" s="1"/>
  <c r="EY21" i="5"/>
  <c r="FB21" i="5" s="1"/>
  <c r="EY15" i="5"/>
  <c r="FB15" i="5" s="1"/>
  <c r="EY10" i="5"/>
  <c r="FB10" i="5" s="1"/>
  <c r="EY13" i="5"/>
  <c r="FB13" i="5" s="1"/>
  <c r="EY17" i="5"/>
  <c r="FB17" i="5" s="1"/>
  <c r="EY16" i="5"/>
  <c r="FB16" i="5" s="1"/>
  <c r="FB9" i="6" l="1"/>
  <c r="FA23" i="6" s="1"/>
  <c r="EY23" i="6"/>
  <c r="EZ23" i="6" s="1"/>
  <c r="FB9" i="5"/>
  <c r="FA23" i="5" s="1"/>
  <c r="EY23" i="5"/>
  <c r="EZ23" i="5" s="1"/>
  <c r="FC21" i="6" l="1"/>
  <c r="FD21" i="6" s="1"/>
  <c r="FC13" i="6"/>
  <c r="FD13" i="6" s="1"/>
  <c r="FC17" i="6"/>
  <c r="FD17" i="6" s="1"/>
  <c r="FC20" i="6"/>
  <c r="FD20" i="6" s="1"/>
  <c r="FC14" i="6"/>
  <c r="FD14" i="6" s="1"/>
  <c r="FC18" i="6"/>
  <c r="FD18" i="6" s="1"/>
  <c r="FC22" i="6"/>
  <c r="FD22" i="6" s="1"/>
  <c r="FC19" i="6"/>
  <c r="FD19" i="6" s="1"/>
  <c r="FC12" i="6"/>
  <c r="FD12" i="6" s="1"/>
  <c r="FC16" i="6"/>
  <c r="FD16" i="6" s="1"/>
  <c r="FC9" i="6"/>
  <c r="FD9" i="6" s="1"/>
  <c r="FC15" i="6"/>
  <c r="FD15" i="6" s="1"/>
  <c r="FC11" i="6"/>
  <c r="FD11" i="6" s="1"/>
  <c r="FC10" i="6"/>
  <c r="FD10" i="6" s="1"/>
  <c r="FC19" i="5"/>
  <c r="FD19" i="5" s="1"/>
  <c r="FC10" i="5"/>
  <c r="FD10" i="5" s="1"/>
  <c r="FC15" i="5"/>
  <c r="FD15" i="5" s="1"/>
  <c r="FC20" i="5"/>
  <c r="FD20" i="5" s="1"/>
  <c r="FC12" i="5"/>
  <c r="FD12" i="5" s="1"/>
  <c r="FC13" i="5"/>
  <c r="FD13" i="5" s="1"/>
  <c r="FC11" i="5"/>
  <c r="FD11" i="5" s="1"/>
  <c r="FC17" i="5"/>
  <c r="FD17" i="5" s="1"/>
  <c r="FC18" i="5"/>
  <c r="FD18" i="5" s="1"/>
  <c r="FC21" i="5"/>
  <c r="FD21" i="5" s="1"/>
  <c r="FC9" i="5"/>
  <c r="FD9" i="5" s="1"/>
  <c r="FC22" i="5"/>
  <c r="FD22" i="5" s="1"/>
  <c r="FC16" i="5"/>
  <c r="FD16" i="5" s="1"/>
  <c r="FC14" i="5"/>
  <c r="FD14" i="5" s="1"/>
  <c r="FD23" i="6" l="1"/>
  <c r="FD23" i="5"/>
  <c r="FE19" i="6" l="1"/>
  <c r="FH19" i="6" s="1"/>
  <c r="FE9" i="6"/>
  <c r="FE17" i="6"/>
  <c r="FH17" i="6" s="1"/>
  <c r="FE14" i="6"/>
  <c r="FH14" i="6" s="1"/>
  <c r="FE18" i="6"/>
  <c r="FH18" i="6" s="1"/>
  <c r="FE13" i="6"/>
  <c r="FH13" i="6" s="1"/>
  <c r="FE22" i="6"/>
  <c r="FH22" i="6" s="1"/>
  <c r="FE21" i="6"/>
  <c r="FH21" i="6" s="1"/>
  <c r="FE20" i="6"/>
  <c r="FH20" i="6" s="1"/>
  <c r="FE16" i="6"/>
  <c r="FH16" i="6" s="1"/>
  <c r="FE15" i="6"/>
  <c r="FH15" i="6" s="1"/>
  <c r="FE12" i="6"/>
  <c r="FH12" i="6" s="1"/>
  <c r="FE10" i="6"/>
  <c r="FH10" i="6" s="1"/>
  <c r="FE11" i="6"/>
  <c r="FH11" i="6" s="1"/>
  <c r="FE17" i="5"/>
  <c r="FH17" i="5" s="1"/>
  <c r="FE21" i="5"/>
  <c r="FH21" i="5" s="1"/>
  <c r="FE15" i="5"/>
  <c r="FH15" i="5" s="1"/>
  <c r="FE18" i="5"/>
  <c r="FH18" i="5" s="1"/>
  <c r="FE9" i="5"/>
  <c r="FE20" i="5"/>
  <c r="FH20" i="5" s="1"/>
  <c r="FE13" i="5"/>
  <c r="FH13" i="5" s="1"/>
  <c r="FE16" i="5"/>
  <c r="FH16" i="5" s="1"/>
  <c r="FE19" i="5"/>
  <c r="FH19" i="5" s="1"/>
  <c r="FE22" i="5"/>
  <c r="FH22" i="5" s="1"/>
  <c r="FE12" i="5"/>
  <c r="FH12" i="5" s="1"/>
  <c r="FE14" i="5"/>
  <c r="FH14" i="5" s="1"/>
  <c r="FE11" i="5"/>
  <c r="FH11" i="5" s="1"/>
  <c r="FE10" i="5"/>
  <c r="FH10" i="5" s="1"/>
  <c r="FH9" i="6" l="1"/>
  <c r="FG23" i="6" s="1"/>
  <c r="FE23" i="6"/>
  <c r="FF23" i="6" s="1"/>
  <c r="FH9" i="5"/>
  <c r="FG23" i="5" s="1"/>
  <c r="FE23" i="5"/>
  <c r="FF23" i="5" s="1"/>
  <c r="FI20" i="6" l="1"/>
  <c r="FJ20" i="6" s="1"/>
  <c r="FI12" i="6"/>
  <c r="FJ12" i="6" s="1"/>
  <c r="FI22" i="6"/>
  <c r="FJ22" i="6" s="1"/>
  <c r="FI10" i="6"/>
  <c r="FJ10" i="6" s="1"/>
  <c r="FI13" i="6"/>
  <c r="FJ13" i="6" s="1"/>
  <c r="FI15" i="6"/>
  <c r="FJ15" i="6" s="1"/>
  <c r="FI9" i="6"/>
  <c r="FJ9" i="6" s="1"/>
  <c r="FI16" i="6"/>
  <c r="FJ16" i="6" s="1"/>
  <c r="FI11" i="6"/>
  <c r="FJ11" i="6" s="1"/>
  <c r="FI18" i="6"/>
  <c r="FJ18" i="6" s="1"/>
  <c r="FI17" i="6"/>
  <c r="FJ17" i="6" s="1"/>
  <c r="FI14" i="6"/>
  <c r="FJ14" i="6" s="1"/>
  <c r="FI19" i="6"/>
  <c r="FJ19" i="6" s="1"/>
  <c r="FI21" i="6"/>
  <c r="FJ21" i="6" s="1"/>
  <c r="FI20" i="5"/>
  <c r="FJ20" i="5" s="1"/>
  <c r="FI21" i="5"/>
  <c r="FJ21" i="5" s="1"/>
  <c r="FI9" i="5"/>
  <c r="FJ9" i="5" s="1"/>
  <c r="FI17" i="5"/>
  <c r="FJ17" i="5" s="1"/>
  <c r="FI22" i="5"/>
  <c r="FJ22" i="5" s="1"/>
  <c r="FI15" i="5"/>
  <c r="FJ15" i="5" s="1"/>
  <c r="FI13" i="5"/>
  <c r="FJ13" i="5" s="1"/>
  <c r="FI14" i="5"/>
  <c r="FJ14" i="5" s="1"/>
  <c r="FI19" i="5"/>
  <c r="FJ19" i="5" s="1"/>
  <c r="FI16" i="5"/>
  <c r="FJ16" i="5" s="1"/>
  <c r="FI11" i="5"/>
  <c r="FJ11" i="5" s="1"/>
  <c r="FI10" i="5"/>
  <c r="FJ10" i="5" s="1"/>
  <c r="FI12" i="5"/>
  <c r="FJ12" i="5" s="1"/>
  <c r="FI18" i="5"/>
  <c r="FJ18" i="5" s="1"/>
  <c r="FJ23" i="6" l="1"/>
  <c r="FJ23" i="5"/>
  <c r="FK19" i="6" l="1"/>
  <c r="FN19" i="6" s="1"/>
  <c r="FK17" i="6"/>
  <c r="FN17" i="6" s="1"/>
  <c r="FK16" i="6"/>
  <c r="FN16" i="6" s="1"/>
  <c r="FK18" i="6"/>
  <c r="FN18" i="6" s="1"/>
  <c r="FK22" i="6"/>
  <c r="FN22" i="6" s="1"/>
  <c r="FK21" i="6"/>
  <c r="FN21" i="6" s="1"/>
  <c r="FK10" i="6"/>
  <c r="FN10" i="6" s="1"/>
  <c r="FK14" i="6"/>
  <c r="FN14" i="6" s="1"/>
  <c r="FK20" i="6"/>
  <c r="FN20" i="6" s="1"/>
  <c r="FK9" i="6"/>
  <c r="FK15" i="6"/>
  <c r="FN15" i="6" s="1"/>
  <c r="FK12" i="6"/>
  <c r="FN12" i="6" s="1"/>
  <c r="FK11" i="6"/>
  <c r="FN11" i="6" s="1"/>
  <c r="FK13" i="6"/>
  <c r="FN13" i="6" s="1"/>
  <c r="FK9" i="5"/>
  <c r="FK15" i="5"/>
  <c r="FN15" i="5" s="1"/>
  <c r="FK19" i="5"/>
  <c r="FN19" i="5" s="1"/>
  <c r="FK21" i="5"/>
  <c r="FN21" i="5" s="1"/>
  <c r="FK17" i="5"/>
  <c r="FN17" i="5" s="1"/>
  <c r="FK16" i="5"/>
  <c r="FN16" i="5" s="1"/>
  <c r="FK20" i="5"/>
  <c r="FN20" i="5" s="1"/>
  <c r="FK13" i="5"/>
  <c r="FN13" i="5" s="1"/>
  <c r="FK14" i="5"/>
  <c r="FN14" i="5" s="1"/>
  <c r="FK11" i="5"/>
  <c r="FN11" i="5" s="1"/>
  <c r="FK18" i="5"/>
  <c r="FN18" i="5" s="1"/>
  <c r="FK12" i="5"/>
  <c r="FN12" i="5" s="1"/>
  <c r="FK10" i="5"/>
  <c r="FN10" i="5" s="1"/>
  <c r="FK22" i="5"/>
  <c r="FN22" i="5" s="1"/>
  <c r="FN9" i="6" l="1"/>
  <c r="FM23" i="6" s="1"/>
  <c r="FK23" i="6"/>
  <c r="FL23" i="6" s="1"/>
  <c r="FN9" i="5"/>
  <c r="FM23" i="5" s="1"/>
  <c r="FK23" i="5"/>
  <c r="FL23" i="5" s="1"/>
  <c r="FO22" i="6" l="1"/>
  <c r="FP22" i="6" s="1"/>
  <c r="FO13" i="6"/>
  <c r="FP13" i="6" s="1"/>
  <c r="FO19" i="6"/>
  <c r="FP19" i="6" s="1"/>
  <c r="FO20" i="6"/>
  <c r="FP20" i="6" s="1"/>
  <c r="FO17" i="6"/>
  <c r="FP17" i="6" s="1"/>
  <c r="FO11" i="6"/>
  <c r="FP11" i="6" s="1"/>
  <c r="FO9" i="6"/>
  <c r="FP9" i="6" s="1"/>
  <c r="FO21" i="6"/>
  <c r="FP21" i="6" s="1"/>
  <c r="FO12" i="6"/>
  <c r="FP12" i="6" s="1"/>
  <c r="FO15" i="6"/>
  <c r="FP15" i="6" s="1"/>
  <c r="FO10" i="6"/>
  <c r="FP10" i="6" s="1"/>
  <c r="FO14" i="6"/>
  <c r="FP14" i="6" s="1"/>
  <c r="FO16" i="6"/>
  <c r="FP16" i="6" s="1"/>
  <c r="FO18" i="6"/>
  <c r="FP18" i="6" s="1"/>
  <c r="FO16" i="5"/>
  <c r="FP16" i="5" s="1"/>
  <c r="FO9" i="5"/>
  <c r="FP9" i="5" s="1"/>
  <c r="FO10" i="5"/>
  <c r="FP10" i="5" s="1"/>
  <c r="FO15" i="5"/>
  <c r="FP15" i="5" s="1"/>
  <c r="FO14" i="5"/>
  <c r="FP14" i="5" s="1"/>
  <c r="FO21" i="5"/>
  <c r="FP21" i="5" s="1"/>
  <c r="FO20" i="5"/>
  <c r="FP20" i="5" s="1"/>
  <c r="FO18" i="5"/>
  <c r="FP18" i="5" s="1"/>
  <c r="FO12" i="5"/>
  <c r="FP12" i="5" s="1"/>
  <c r="FO19" i="5"/>
  <c r="FP19" i="5" s="1"/>
  <c r="FO13" i="5"/>
  <c r="FP13" i="5" s="1"/>
  <c r="FO11" i="5"/>
  <c r="FP11" i="5" s="1"/>
  <c r="FO17" i="5"/>
  <c r="FP17" i="5" s="1"/>
  <c r="FO22" i="5"/>
  <c r="FP22" i="5" s="1"/>
  <c r="FP23" i="6" l="1"/>
  <c r="FP23" i="5"/>
  <c r="FQ15" i="6" l="1"/>
  <c r="FT15" i="6" s="1"/>
  <c r="FQ16" i="6"/>
  <c r="FT16" i="6" s="1"/>
  <c r="FQ20" i="6"/>
  <c r="FT20" i="6" s="1"/>
  <c r="FQ12" i="6"/>
  <c r="FT12" i="6" s="1"/>
  <c r="FQ9" i="6"/>
  <c r="FQ13" i="6"/>
  <c r="FT13" i="6" s="1"/>
  <c r="FQ18" i="6"/>
  <c r="FT18" i="6" s="1"/>
  <c r="FQ10" i="6"/>
  <c r="FT10" i="6" s="1"/>
  <c r="FQ21" i="6"/>
  <c r="FT21" i="6" s="1"/>
  <c r="FQ11" i="6"/>
  <c r="FT11" i="6" s="1"/>
  <c r="FQ22" i="6"/>
  <c r="FT22" i="6" s="1"/>
  <c r="FQ14" i="6"/>
  <c r="FT14" i="6" s="1"/>
  <c r="FQ17" i="6"/>
  <c r="FT17" i="6" s="1"/>
  <c r="FQ19" i="6"/>
  <c r="FT19" i="6" s="1"/>
  <c r="FQ17" i="5"/>
  <c r="FT17" i="5" s="1"/>
  <c r="FQ12" i="5"/>
  <c r="FT12" i="5" s="1"/>
  <c r="FQ15" i="5"/>
  <c r="FT15" i="5" s="1"/>
  <c r="FQ11" i="5"/>
  <c r="FT11" i="5" s="1"/>
  <c r="FQ10" i="5"/>
  <c r="FT10" i="5" s="1"/>
  <c r="FQ18" i="5"/>
  <c r="FT18" i="5" s="1"/>
  <c r="FQ19" i="5"/>
  <c r="FT19" i="5" s="1"/>
  <c r="FQ16" i="5"/>
  <c r="FT16" i="5" s="1"/>
  <c r="FQ14" i="5"/>
  <c r="FT14" i="5" s="1"/>
  <c r="FQ20" i="5"/>
  <c r="FT20" i="5" s="1"/>
  <c r="FQ21" i="5"/>
  <c r="FT21" i="5" s="1"/>
  <c r="FQ13" i="5"/>
  <c r="FT13" i="5" s="1"/>
  <c r="FQ22" i="5"/>
  <c r="FT22" i="5" s="1"/>
  <c r="FQ9" i="5"/>
  <c r="FT9" i="6" l="1"/>
  <c r="FS23" i="6" s="1"/>
  <c r="FQ23" i="6"/>
  <c r="FR23" i="6" s="1"/>
  <c r="FT9" i="5"/>
  <c r="FS23" i="5" s="1"/>
  <c r="FQ23" i="5"/>
  <c r="FR23" i="5" s="1"/>
  <c r="FU22" i="6" l="1"/>
  <c r="FV22" i="6" s="1"/>
  <c r="FU13" i="6"/>
  <c r="FV13" i="6" s="1"/>
  <c r="FU21" i="6"/>
  <c r="FV21" i="6" s="1"/>
  <c r="FU9" i="6"/>
  <c r="FV9" i="6" s="1"/>
  <c r="FU18" i="6"/>
  <c r="FV18" i="6" s="1"/>
  <c r="FU11" i="6"/>
  <c r="FV11" i="6" s="1"/>
  <c r="FU16" i="6"/>
  <c r="FV16" i="6" s="1"/>
  <c r="FU20" i="6"/>
  <c r="FV20" i="6" s="1"/>
  <c r="FU12" i="6"/>
  <c r="FV12" i="6" s="1"/>
  <c r="FU19" i="6"/>
  <c r="FV19" i="6" s="1"/>
  <c r="FU15" i="6"/>
  <c r="FV15" i="6" s="1"/>
  <c r="FU14" i="6"/>
  <c r="FV14" i="6" s="1"/>
  <c r="FU17" i="6"/>
  <c r="FV17" i="6" s="1"/>
  <c r="FU10" i="6"/>
  <c r="FV10" i="6" s="1"/>
  <c r="FU18" i="5"/>
  <c r="FV18" i="5" s="1"/>
  <c r="FU13" i="5"/>
  <c r="FV13" i="5" s="1"/>
  <c r="FU17" i="5"/>
  <c r="FV17" i="5" s="1"/>
  <c r="FU21" i="5"/>
  <c r="FV21" i="5" s="1"/>
  <c r="FU11" i="5"/>
  <c r="FV11" i="5" s="1"/>
  <c r="FU10" i="5"/>
  <c r="FV10" i="5" s="1"/>
  <c r="FU16" i="5"/>
  <c r="FV16" i="5" s="1"/>
  <c r="FU12" i="5"/>
  <c r="FV12" i="5" s="1"/>
  <c r="FU19" i="5"/>
  <c r="FV19" i="5" s="1"/>
  <c r="FU9" i="5"/>
  <c r="FV9" i="5" s="1"/>
  <c r="FU14" i="5"/>
  <c r="FV14" i="5" s="1"/>
  <c r="FU15" i="5"/>
  <c r="FV15" i="5" s="1"/>
  <c r="FU22" i="5"/>
  <c r="FV22" i="5" s="1"/>
  <c r="FU20" i="5"/>
  <c r="FV20" i="5" s="1"/>
  <c r="FV23" i="6" l="1"/>
  <c r="FV23" i="5"/>
  <c r="FW15" i="6" l="1"/>
  <c r="FZ15" i="6" s="1"/>
  <c r="FW22" i="6"/>
  <c r="FZ22" i="6" s="1"/>
  <c r="FW20" i="6"/>
  <c r="FZ20" i="6" s="1"/>
  <c r="FW18" i="6"/>
  <c r="FZ18" i="6" s="1"/>
  <c r="FW13" i="6"/>
  <c r="FZ13" i="6" s="1"/>
  <c r="FW14" i="6"/>
  <c r="FZ14" i="6" s="1"/>
  <c r="FW11" i="6"/>
  <c r="FZ11" i="6" s="1"/>
  <c r="FW9" i="6"/>
  <c r="FW16" i="6"/>
  <c r="FZ16" i="6" s="1"/>
  <c r="FW12" i="6"/>
  <c r="FZ12" i="6" s="1"/>
  <c r="FW21" i="6"/>
  <c r="FZ21" i="6" s="1"/>
  <c r="FW10" i="6"/>
  <c r="FZ10" i="6" s="1"/>
  <c r="FW17" i="6"/>
  <c r="FZ17" i="6" s="1"/>
  <c r="FW19" i="6"/>
  <c r="FZ19" i="6" s="1"/>
  <c r="FW20" i="5"/>
  <c r="FZ20" i="5" s="1"/>
  <c r="FW10" i="5"/>
  <c r="FZ10" i="5" s="1"/>
  <c r="FW18" i="5"/>
  <c r="FZ18" i="5" s="1"/>
  <c r="FW11" i="5"/>
  <c r="FZ11" i="5" s="1"/>
  <c r="FW17" i="5"/>
  <c r="FZ17" i="5" s="1"/>
  <c r="FW14" i="5"/>
  <c r="FZ14" i="5" s="1"/>
  <c r="FW19" i="5"/>
  <c r="FZ19" i="5" s="1"/>
  <c r="FW21" i="5"/>
  <c r="FZ21" i="5" s="1"/>
  <c r="FW9" i="5"/>
  <c r="FW16" i="5"/>
  <c r="FZ16" i="5" s="1"/>
  <c r="FW13" i="5"/>
  <c r="FZ13" i="5" s="1"/>
  <c r="FW15" i="5"/>
  <c r="FZ15" i="5" s="1"/>
  <c r="FW12" i="5"/>
  <c r="FZ12" i="5" s="1"/>
  <c r="FW22" i="5"/>
  <c r="FZ22" i="5" s="1"/>
  <c r="FZ9" i="6" l="1"/>
  <c r="FY23" i="6" s="1"/>
  <c r="FW23" i="6"/>
  <c r="FX23" i="6" s="1"/>
  <c r="FZ9" i="5"/>
  <c r="FY23" i="5" s="1"/>
  <c r="FW23" i="5"/>
  <c r="FX23" i="5" s="1"/>
  <c r="GA21" i="6" l="1"/>
  <c r="GB21" i="6" s="1"/>
  <c r="GA13" i="6"/>
  <c r="GB13" i="6" s="1"/>
  <c r="GA18" i="6"/>
  <c r="GB18" i="6" s="1"/>
  <c r="GA10" i="6"/>
  <c r="GB10" i="6" s="1"/>
  <c r="GA15" i="6"/>
  <c r="GB15" i="6" s="1"/>
  <c r="GA11" i="6"/>
  <c r="GB11" i="6" s="1"/>
  <c r="GA17" i="6"/>
  <c r="GB17" i="6" s="1"/>
  <c r="GA14" i="6"/>
  <c r="GB14" i="6" s="1"/>
  <c r="GA22" i="6"/>
  <c r="GB22" i="6" s="1"/>
  <c r="GA20" i="6"/>
  <c r="GB20" i="6" s="1"/>
  <c r="GA19" i="6"/>
  <c r="GB19" i="6" s="1"/>
  <c r="GA12" i="6"/>
  <c r="GB12" i="6" s="1"/>
  <c r="GA16" i="6"/>
  <c r="GB16" i="6" s="1"/>
  <c r="GA9" i="6"/>
  <c r="GB9" i="6" s="1"/>
  <c r="GA19" i="5"/>
  <c r="GB19" i="5" s="1"/>
  <c r="GA10" i="5"/>
  <c r="GB10" i="5" s="1"/>
  <c r="GA18" i="5"/>
  <c r="GB18" i="5" s="1"/>
  <c r="GA22" i="5"/>
  <c r="GB22" i="5" s="1"/>
  <c r="GA21" i="5"/>
  <c r="GB21" i="5" s="1"/>
  <c r="GA17" i="5"/>
  <c r="GB17" i="5" s="1"/>
  <c r="GA20" i="5"/>
  <c r="GB20" i="5" s="1"/>
  <c r="GA13" i="5"/>
  <c r="GB13" i="5" s="1"/>
  <c r="GA16" i="5"/>
  <c r="GB16" i="5" s="1"/>
  <c r="GA11" i="5"/>
  <c r="GB11" i="5" s="1"/>
  <c r="GA12" i="5"/>
  <c r="GB12" i="5" s="1"/>
  <c r="GA14" i="5"/>
  <c r="GB14" i="5" s="1"/>
  <c r="GA9" i="5"/>
  <c r="GB9" i="5" s="1"/>
  <c r="GA15" i="5"/>
  <c r="GB15" i="5" s="1"/>
  <c r="GB23" i="6" l="1"/>
  <c r="GB23" i="5"/>
  <c r="GC20" i="6" l="1"/>
  <c r="GF20" i="6" s="1"/>
  <c r="GC19" i="6"/>
  <c r="GF19" i="6" s="1"/>
  <c r="GC11" i="6"/>
  <c r="GF11" i="6" s="1"/>
  <c r="GC14" i="6"/>
  <c r="GF14" i="6" s="1"/>
  <c r="GC16" i="6"/>
  <c r="GF16" i="6" s="1"/>
  <c r="GC17" i="6"/>
  <c r="GF17" i="6" s="1"/>
  <c r="GC10" i="6"/>
  <c r="GF10" i="6" s="1"/>
  <c r="GC18" i="6"/>
  <c r="GF18" i="6" s="1"/>
  <c r="GC21" i="6"/>
  <c r="GF21" i="6" s="1"/>
  <c r="GC13" i="6"/>
  <c r="GF13" i="6" s="1"/>
  <c r="GC9" i="6"/>
  <c r="GC22" i="6"/>
  <c r="GF22" i="6" s="1"/>
  <c r="GC12" i="6"/>
  <c r="GF12" i="6" s="1"/>
  <c r="GC15" i="6"/>
  <c r="GF15" i="6" s="1"/>
  <c r="GC12" i="5"/>
  <c r="GF12" i="5" s="1"/>
  <c r="GC19" i="5"/>
  <c r="GF19" i="5" s="1"/>
  <c r="GC20" i="5"/>
  <c r="GF20" i="5" s="1"/>
  <c r="GC18" i="5"/>
  <c r="GF18" i="5" s="1"/>
  <c r="GC15" i="5"/>
  <c r="GF15" i="5" s="1"/>
  <c r="GC10" i="5"/>
  <c r="GF10" i="5" s="1"/>
  <c r="GC16" i="5"/>
  <c r="GF16" i="5" s="1"/>
  <c r="GC21" i="5"/>
  <c r="GF21" i="5" s="1"/>
  <c r="GC17" i="5"/>
  <c r="GF17" i="5" s="1"/>
  <c r="GC13" i="5"/>
  <c r="GF13" i="5" s="1"/>
  <c r="GC14" i="5"/>
  <c r="GF14" i="5" s="1"/>
  <c r="GC11" i="5"/>
  <c r="GF11" i="5" s="1"/>
  <c r="GC9" i="5"/>
  <c r="GC22" i="5"/>
  <c r="GF22" i="5" s="1"/>
  <c r="GF9" i="6" l="1"/>
  <c r="GE23" i="6" s="1"/>
  <c r="GC23" i="6"/>
  <c r="GD23" i="6" s="1"/>
  <c r="GF9" i="5"/>
  <c r="GE23" i="5" s="1"/>
  <c r="GC23" i="5"/>
  <c r="GD23" i="5" s="1"/>
  <c r="GG22" i="6" l="1"/>
  <c r="GH22" i="6" s="1"/>
  <c r="GG13" i="6"/>
  <c r="GH13" i="6" s="1"/>
  <c r="GG15" i="6"/>
  <c r="GH15" i="6" s="1"/>
  <c r="GG10" i="6"/>
  <c r="GH10" i="6" s="1"/>
  <c r="GG14" i="6"/>
  <c r="GH14" i="6" s="1"/>
  <c r="GG19" i="6"/>
  <c r="GH19" i="6" s="1"/>
  <c r="GG17" i="6"/>
  <c r="GH17" i="6" s="1"/>
  <c r="GG20" i="6"/>
  <c r="GH20" i="6" s="1"/>
  <c r="GG12" i="6"/>
  <c r="GH12" i="6" s="1"/>
  <c r="GG21" i="6"/>
  <c r="GH21" i="6" s="1"/>
  <c r="GG9" i="6"/>
  <c r="GH9" i="6" s="1"/>
  <c r="GG16" i="6"/>
  <c r="GH16" i="6" s="1"/>
  <c r="GG11" i="6"/>
  <c r="GH11" i="6" s="1"/>
  <c r="GG18" i="6"/>
  <c r="GH18" i="6" s="1"/>
  <c r="GG20" i="5"/>
  <c r="GH20" i="5" s="1"/>
  <c r="GG16" i="5"/>
  <c r="GH16" i="5" s="1"/>
  <c r="GG9" i="5"/>
  <c r="GH9" i="5" s="1"/>
  <c r="GG18" i="5"/>
  <c r="GH18" i="5" s="1"/>
  <c r="GG19" i="5"/>
  <c r="GH19" i="5" s="1"/>
  <c r="GG17" i="5"/>
  <c r="GH17" i="5" s="1"/>
  <c r="GG11" i="5"/>
  <c r="GH11" i="5" s="1"/>
  <c r="GG10" i="5"/>
  <c r="GH10" i="5" s="1"/>
  <c r="GG13" i="5"/>
  <c r="GH13" i="5" s="1"/>
  <c r="GG14" i="5"/>
  <c r="GH14" i="5" s="1"/>
  <c r="GG15" i="5"/>
  <c r="GH15" i="5" s="1"/>
  <c r="GG22" i="5"/>
  <c r="GH22" i="5" s="1"/>
  <c r="GG12" i="5"/>
  <c r="GH12" i="5" s="1"/>
  <c r="GG21" i="5"/>
  <c r="GH21" i="5" s="1"/>
  <c r="GH23" i="6" l="1"/>
  <c r="GH23" i="5"/>
  <c r="GI22" i="6" l="1"/>
  <c r="GJ22" i="6" s="1"/>
  <c r="GK22" i="6" s="1"/>
  <c r="GI19" i="6"/>
  <c r="GJ19" i="6" s="1"/>
  <c r="GK19" i="6" s="1"/>
  <c r="GI21" i="6"/>
  <c r="GJ21" i="6" s="1"/>
  <c r="GK21" i="6" s="1"/>
  <c r="GI15" i="6"/>
  <c r="GJ15" i="6" s="1"/>
  <c r="GK15" i="6" s="1"/>
  <c r="GI17" i="6"/>
  <c r="GJ17" i="6" s="1"/>
  <c r="GK17" i="6" s="1"/>
  <c r="GM17" i="6" s="1"/>
  <c r="GI11" i="6"/>
  <c r="GJ11" i="6" s="1"/>
  <c r="GK11" i="6" s="1"/>
  <c r="GI16" i="6"/>
  <c r="GJ16" i="6" s="1"/>
  <c r="GK16" i="6" s="1"/>
  <c r="GI18" i="6"/>
  <c r="GJ18" i="6" s="1"/>
  <c r="GK18" i="6" s="1"/>
  <c r="GI13" i="6"/>
  <c r="GJ13" i="6" s="1"/>
  <c r="GK13" i="6" s="1"/>
  <c r="GI12" i="6"/>
  <c r="GJ12" i="6" s="1"/>
  <c r="GK12" i="6" s="1"/>
  <c r="GI20" i="6"/>
  <c r="GJ20" i="6" s="1"/>
  <c r="GK20" i="6" s="1"/>
  <c r="GI9" i="6"/>
  <c r="GI10" i="6"/>
  <c r="GJ10" i="6" s="1"/>
  <c r="GK10" i="6" s="1"/>
  <c r="GI14" i="6"/>
  <c r="GJ14" i="6" s="1"/>
  <c r="GK14" i="6" s="1"/>
  <c r="GI22" i="5"/>
  <c r="GJ22" i="5" s="1"/>
  <c r="GK22" i="5" s="1"/>
  <c r="GI15" i="5"/>
  <c r="GJ15" i="5" s="1"/>
  <c r="GK15" i="5" s="1"/>
  <c r="GI21" i="5"/>
  <c r="GJ21" i="5" s="1"/>
  <c r="GK21" i="5" s="1"/>
  <c r="GI14" i="5"/>
  <c r="GJ14" i="5" s="1"/>
  <c r="GK14" i="5" s="1"/>
  <c r="GI12" i="5"/>
  <c r="GJ12" i="5" s="1"/>
  <c r="GK12" i="5" s="1"/>
  <c r="GI18" i="5"/>
  <c r="GJ18" i="5" s="1"/>
  <c r="GK18" i="5" s="1"/>
  <c r="GI9" i="5"/>
  <c r="GI11" i="5"/>
  <c r="GJ11" i="5" s="1"/>
  <c r="GK11" i="5" s="1"/>
  <c r="GM11" i="5" s="1"/>
  <c r="GI17" i="5"/>
  <c r="GJ17" i="5" s="1"/>
  <c r="GK17" i="5" s="1"/>
  <c r="GI16" i="5"/>
  <c r="GJ16" i="5" s="1"/>
  <c r="GK16" i="5" s="1"/>
  <c r="GI19" i="5"/>
  <c r="GJ19" i="5" s="1"/>
  <c r="GK19" i="5" s="1"/>
  <c r="GI20" i="5"/>
  <c r="GJ20" i="5" s="1"/>
  <c r="GK20" i="5" s="1"/>
  <c r="GM20" i="5" s="1"/>
  <c r="GI10" i="5"/>
  <c r="GJ10" i="5" s="1"/>
  <c r="GK10" i="5" s="1"/>
  <c r="GI13" i="5"/>
  <c r="GJ13" i="5" s="1"/>
  <c r="GK13" i="5" s="1"/>
  <c r="L13" i="4"/>
  <c r="L19" i="4"/>
  <c r="L10" i="4"/>
  <c r="L11" i="4"/>
  <c r="L16" i="4"/>
  <c r="L17" i="4"/>
  <c r="L18" i="4"/>
  <c r="L22" i="4"/>
  <c r="L14" i="4"/>
  <c r="L20" i="4"/>
  <c r="L12" i="4"/>
  <c r="F23" i="4"/>
  <c r="L9" i="4"/>
  <c r="L15" i="4"/>
  <c r="L21" i="4"/>
  <c r="GL17" i="5" l="1"/>
  <c r="GM17" i="5"/>
  <c r="GL22" i="5"/>
  <c r="GM22" i="5"/>
  <c r="GL16" i="6"/>
  <c r="GM16" i="6"/>
  <c r="GL11" i="5"/>
  <c r="GL14" i="6"/>
  <c r="GM14" i="6"/>
  <c r="GL11" i="6"/>
  <c r="GM11" i="6"/>
  <c r="GL16" i="5"/>
  <c r="GM16" i="5"/>
  <c r="GL10" i="6"/>
  <c r="GM10" i="6"/>
  <c r="GL17" i="6"/>
  <c r="GL18" i="6"/>
  <c r="GM18" i="6"/>
  <c r="GL13" i="5"/>
  <c r="GM13" i="5"/>
  <c r="GL18" i="5"/>
  <c r="GM18" i="5"/>
  <c r="GL15" i="6"/>
  <c r="GM15" i="6"/>
  <c r="GL15" i="5"/>
  <c r="GM15" i="5"/>
  <c r="GL10" i="5"/>
  <c r="GM10" i="5"/>
  <c r="GL12" i="5"/>
  <c r="GM12" i="5"/>
  <c r="GL20" i="6"/>
  <c r="GM20" i="6"/>
  <c r="GL21" i="6"/>
  <c r="GM21" i="6"/>
  <c r="GL20" i="5"/>
  <c r="GL14" i="5"/>
  <c r="GM14" i="5"/>
  <c r="GL12" i="6"/>
  <c r="GM12" i="6"/>
  <c r="GL19" i="6"/>
  <c r="GM19" i="6"/>
  <c r="GL19" i="5"/>
  <c r="GM19" i="5"/>
  <c r="GL21" i="5"/>
  <c r="GM21" i="5"/>
  <c r="GL13" i="6"/>
  <c r="GM13" i="6"/>
  <c r="GL22" i="6"/>
  <c r="GM22" i="6"/>
  <c r="GJ9" i="6"/>
  <c r="GI23" i="6"/>
  <c r="GJ9" i="5"/>
  <c r="GI23" i="5"/>
  <c r="M20" i="4"/>
  <c r="M17" i="4"/>
  <c r="M19" i="4"/>
  <c r="M14" i="4"/>
  <c r="M22" i="4"/>
  <c r="M11" i="4"/>
  <c r="M21" i="4"/>
  <c r="M12" i="4"/>
  <c r="M18" i="4"/>
  <c r="M10" i="4"/>
  <c r="M15" i="4"/>
  <c r="M9" i="4"/>
  <c r="L23" i="4"/>
  <c r="M16" i="4"/>
  <c r="M13" i="4"/>
  <c r="GK9" i="6" l="1"/>
  <c r="GJ23" i="6"/>
  <c r="GK23" i="6" s="1"/>
  <c r="GK9" i="5"/>
  <c r="GJ23" i="5"/>
  <c r="GK23" i="5" s="1"/>
  <c r="N23" i="4"/>
  <c r="GL9" i="5" l="1"/>
  <c r="GM9" i="5"/>
  <c r="GM23" i="5" s="1"/>
  <c r="GL9" i="6"/>
  <c r="GM9" i="6"/>
  <c r="GM23" i="6" s="1"/>
  <c r="O17" i="4"/>
  <c r="P17" i="4" s="1"/>
  <c r="O13" i="4"/>
  <c r="P13" i="4" s="1"/>
  <c r="O21" i="4"/>
  <c r="P21" i="4" s="1"/>
  <c r="O20" i="4"/>
  <c r="P20" i="4" s="1"/>
  <c r="O16" i="4"/>
  <c r="P16" i="4" s="1"/>
  <c r="O15" i="4"/>
  <c r="P15" i="4" s="1"/>
  <c r="O19" i="4"/>
  <c r="P19" i="4" s="1"/>
  <c r="O9" i="4"/>
  <c r="P9" i="4" s="1"/>
  <c r="O18" i="4"/>
  <c r="P18" i="4" s="1"/>
  <c r="O14" i="4"/>
  <c r="P14" i="4" s="1"/>
  <c r="O11" i="4"/>
  <c r="P11" i="4" s="1"/>
  <c r="O12" i="4"/>
  <c r="P12" i="4" s="1"/>
  <c r="O22" i="4"/>
  <c r="P22" i="4" s="1"/>
  <c r="O10" i="4"/>
  <c r="P10" i="4" s="1"/>
  <c r="P23" i="4" l="1"/>
  <c r="Q19" i="4" l="1"/>
  <c r="Q16" i="4"/>
  <c r="Q12" i="4"/>
  <c r="Q15" i="4"/>
  <c r="Q9" i="4"/>
  <c r="Q10" i="4"/>
  <c r="Q13" i="4"/>
  <c r="Q18" i="4"/>
  <c r="Q20" i="4"/>
  <c r="Q22" i="4"/>
  <c r="Q21" i="4"/>
  <c r="Q11" i="4"/>
  <c r="Q14" i="4"/>
  <c r="Q17" i="4"/>
  <c r="T17" i="4" l="1"/>
  <c r="T22" i="4"/>
  <c r="T10" i="4"/>
  <c r="T16" i="4"/>
  <c r="T14" i="4"/>
  <c r="T20" i="4"/>
  <c r="Q23" i="4"/>
  <c r="R23" i="4" s="1"/>
  <c r="T9" i="4"/>
  <c r="T19" i="4"/>
  <c r="T11" i="4"/>
  <c r="T18" i="4"/>
  <c r="T15" i="4"/>
  <c r="T21" i="4"/>
  <c r="T13" i="4"/>
  <c r="T12" i="4"/>
  <c r="S23" i="4" l="1"/>
  <c r="U19" i="4" s="1"/>
  <c r="V19" i="4" s="1"/>
  <c r="U18" i="4" l="1"/>
  <c r="V18" i="4" s="1"/>
  <c r="U13" i="4"/>
  <c r="V13" i="4" s="1"/>
  <c r="U12" i="4"/>
  <c r="V12" i="4" s="1"/>
  <c r="U10" i="4"/>
  <c r="V10" i="4" s="1"/>
  <c r="U9" i="4"/>
  <c r="V9" i="4" s="1"/>
  <c r="U15" i="4"/>
  <c r="V15" i="4" s="1"/>
  <c r="U16" i="4"/>
  <c r="V16" i="4" s="1"/>
  <c r="U21" i="4"/>
  <c r="V21" i="4" s="1"/>
  <c r="U17" i="4"/>
  <c r="V17" i="4" s="1"/>
  <c r="U20" i="4"/>
  <c r="V20" i="4" s="1"/>
  <c r="U14" i="4"/>
  <c r="V14" i="4" s="1"/>
  <c r="U22" i="4"/>
  <c r="V22" i="4" s="1"/>
  <c r="U11" i="4"/>
  <c r="V11" i="4" s="1"/>
  <c r="V23" i="4" l="1"/>
  <c r="W10" i="4" s="1"/>
  <c r="Z10" i="4" s="1"/>
  <c r="W16" i="4" l="1"/>
  <c r="Z16" i="4" s="1"/>
  <c r="W19" i="4"/>
  <c r="Z19" i="4" s="1"/>
  <c r="W12" i="4"/>
  <c r="Z12" i="4" s="1"/>
  <c r="W15" i="4"/>
  <c r="Z15" i="4" s="1"/>
  <c r="W14" i="4"/>
  <c r="Z14" i="4" s="1"/>
  <c r="W9" i="4"/>
  <c r="Z9" i="4" s="1"/>
  <c r="W22" i="4"/>
  <c r="Z22" i="4" s="1"/>
  <c r="W20" i="4"/>
  <c r="Z20" i="4" s="1"/>
  <c r="W21" i="4"/>
  <c r="Z21" i="4" s="1"/>
  <c r="W18" i="4"/>
  <c r="Z18" i="4" s="1"/>
  <c r="W17" i="4"/>
  <c r="Z17" i="4" s="1"/>
  <c r="W13" i="4"/>
  <c r="Z13" i="4" s="1"/>
  <c r="W11" i="4"/>
  <c r="Z11" i="4" s="1"/>
  <c r="Y23" i="4" l="1"/>
  <c r="AA13" i="4" s="1"/>
  <c r="W23" i="4"/>
  <c r="X23" i="4" s="1"/>
  <c r="AB13" i="4" l="1"/>
  <c r="AA14" i="4"/>
  <c r="AB14" i="4" s="1"/>
  <c r="AA16" i="4"/>
  <c r="AB16" i="4" s="1"/>
  <c r="AA10" i="4"/>
  <c r="AB10" i="4" s="1"/>
  <c r="AA22" i="4"/>
  <c r="AB22" i="4" s="1"/>
  <c r="AA15" i="4"/>
  <c r="AB15" i="4" s="1"/>
  <c r="AA17" i="4"/>
  <c r="AB17" i="4" s="1"/>
  <c r="AA21" i="4"/>
  <c r="AB21" i="4" s="1"/>
  <c r="AA18" i="4"/>
  <c r="AB18" i="4" s="1"/>
  <c r="AA12" i="4"/>
  <c r="AB12" i="4" s="1"/>
  <c r="AA9" i="4"/>
  <c r="AB9" i="4" s="1"/>
  <c r="AA11" i="4"/>
  <c r="AB11" i="4" s="1"/>
  <c r="AA20" i="4"/>
  <c r="AB20" i="4" s="1"/>
  <c r="AA19" i="4"/>
  <c r="AB19" i="4" s="1"/>
  <c r="AB23" i="4" l="1"/>
  <c r="AC18" i="4" s="1"/>
  <c r="AF18" i="4" s="1"/>
  <c r="AC14" i="4" l="1"/>
  <c r="AF14" i="4" s="1"/>
  <c r="AC11" i="4"/>
  <c r="AF11" i="4" s="1"/>
  <c r="AC22" i="4"/>
  <c r="AF22" i="4" s="1"/>
  <c r="AC20" i="4"/>
  <c r="AF20" i="4" s="1"/>
  <c r="AC21" i="4"/>
  <c r="AF21" i="4" s="1"/>
  <c r="AC17" i="4"/>
  <c r="AF17" i="4" s="1"/>
  <c r="AC13" i="4"/>
  <c r="AF13" i="4" s="1"/>
  <c r="AC15" i="4"/>
  <c r="AF15" i="4" s="1"/>
  <c r="AC9" i="4"/>
  <c r="AF9" i="4" s="1"/>
  <c r="AC16" i="4"/>
  <c r="AF16" i="4" s="1"/>
  <c r="AC19" i="4"/>
  <c r="AF19" i="4" s="1"/>
  <c r="AC12" i="4"/>
  <c r="AF12" i="4" s="1"/>
  <c r="AC10" i="4"/>
  <c r="AF10" i="4" s="1"/>
  <c r="AE23" i="4" l="1"/>
  <c r="AG17" i="4" s="1"/>
  <c r="AC23" i="4"/>
  <c r="AD23" i="4" s="1"/>
  <c r="AH17" i="4" l="1"/>
  <c r="AG14" i="4"/>
  <c r="AH14" i="4" s="1"/>
  <c r="AG11" i="4"/>
  <c r="AH11" i="4" s="1"/>
  <c r="AG22" i="4"/>
  <c r="AH22" i="4" s="1"/>
  <c r="AG9" i="4"/>
  <c r="AH9" i="4" s="1"/>
  <c r="AG13" i="4"/>
  <c r="AH13" i="4" s="1"/>
  <c r="AG18" i="4"/>
  <c r="AH18" i="4" s="1"/>
  <c r="AG16" i="4"/>
  <c r="AH16" i="4" s="1"/>
  <c r="AG21" i="4"/>
  <c r="AH21" i="4" s="1"/>
  <c r="AG20" i="4"/>
  <c r="AH20" i="4" s="1"/>
  <c r="AG19" i="4"/>
  <c r="AH19" i="4" s="1"/>
  <c r="AG12" i="4"/>
  <c r="AH12" i="4" s="1"/>
  <c r="AG10" i="4"/>
  <c r="AH10" i="4" s="1"/>
  <c r="AG15" i="4"/>
  <c r="AH15" i="4" s="1"/>
  <c r="AH23" i="4" l="1"/>
  <c r="AI9" i="4" s="1"/>
  <c r="AL9" i="4" s="1"/>
  <c r="AI10" i="4" l="1"/>
  <c r="AL10" i="4" s="1"/>
  <c r="AI17" i="4"/>
  <c r="AL17" i="4" s="1"/>
  <c r="AI22" i="4"/>
  <c r="AL22" i="4" s="1"/>
  <c r="AI19" i="4"/>
  <c r="AL19" i="4" s="1"/>
  <c r="AI18" i="4"/>
  <c r="AL18" i="4" s="1"/>
  <c r="AI13" i="4"/>
  <c r="AL13" i="4" s="1"/>
  <c r="AI16" i="4"/>
  <c r="AL16" i="4" s="1"/>
  <c r="AI12" i="4"/>
  <c r="AL12" i="4" s="1"/>
  <c r="AI20" i="4"/>
  <c r="AL20" i="4" s="1"/>
  <c r="AI15" i="4"/>
  <c r="AL15" i="4" s="1"/>
  <c r="AI21" i="4"/>
  <c r="AL21" i="4" s="1"/>
  <c r="AI11" i="4"/>
  <c r="AL11" i="4" s="1"/>
  <c r="AI14" i="4"/>
  <c r="AL14" i="4" s="1"/>
  <c r="AK23" i="4" l="1"/>
  <c r="AM13" i="4" s="1"/>
  <c r="AI23" i="4"/>
  <c r="AJ23" i="4" s="1"/>
  <c r="AN13" i="4" l="1"/>
  <c r="AM18" i="4"/>
  <c r="AN18" i="4" s="1"/>
  <c r="AM15" i="4"/>
  <c r="AN15" i="4" s="1"/>
  <c r="AM21" i="4"/>
  <c r="AN21" i="4" s="1"/>
  <c r="AM9" i="4"/>
  <c r="AN9" i="4" s="1"/>
  <c r="AM19" i="4"/>
  <c r="AN19" i="4" s="1"/>
  <c r="AM12" i="4"/>
  <c r="AN12" i="4" s="1"/>
  <c r="AM20" i="4"/>
  <c r="AN20" i="4" s="1"/>
  <c r="AM14" i="4"/>
  <c r="AN14" i="4" s="1"/>
  <c r="AM11" i="4"/>
  <c r="AN11" i="4" s="1"/>
  <c r="AM17" i="4"/>
  <c r="AN17" i="4" s="1"/>
  <c r="AM16" i="4"/>
  <c r="AN16" i="4" s="1"/>
  <c r="AM10" i="4"/>
  <c r="AN10" i="4" s="1"/>
  <c r="AM22" i="4"/>
  <c r="AN22" i="4" s="1"/>
  <c r="AN23" i="4" l="1"/>
  <c r="AO9" i="4" s="1"/>
  <c r="AR9" i="4" s="1"/>
  <c r="AO19" i="4" l="1"/>
  <c r="AR19" i="4" s="1"/>
  <c r="AO18" i="4"/>
  <c r="AR18" i="4" s="1"/>
  <c r="AO22" i="4"/>
  <c r="AR22" i="4" s="1"/>
  <c r="AO13" i="4"/>
  <c r="AR13" i="4" s="1"/>
  <c r="AO16" i="4"/>
  <c r="AR16" i="4" s="1"/>
  <c r="AO20" i="4"/>
  <c r="AR20" i="4" s="1"/>
  <c r="AO11" i="4"/>
  <c r="AR11" i="4" s="1"/>
  <c r="AO12" i="4"/>
  <c r="AR12" i="4" s="1"/>
  <c r="AO17" i="4"/>
  <c r="AR17" i="4" s="1"/>
  <c r="AO21" i="4"/>
  <c r="AR21" i="4" s="1"/>
  <c r="AO15" i="4"/>
  <c r="AR15" i="4" s="1"/>
  <c r="AO10" i="4"/>
  <c r="AR10" i="4" s="1"/>
  <c r="AO14" i="4"/>
  <c r="AR14" i="4" s="1"/>
  <c r="AQ23" i="4" l="1"/>
  <c r="AS18" i="4" s="1"/>
  <c r="AO23" i="4"/>
  <c r="AP23" i="4" s="1"/>
  <c r="AT18" i="4" l="1"/>
  <c r="AS21" i="4"/>
  <c r="AT21" i="4" s="1"/>
  <c r="AS12" i="4"/>
  <c r="AT12" i="4" s="1"/>
  <c r="AS15" i="4"/>
  <c r="AT15" i="4" s="1"/>
  <c r="AS11" i="4"/>
  <c r="AT11" i="4" s="1"/>
  <c r="AS22" i="4"/>
  <c r="AT22" i="4" s="1"/>
  <c r="AS17" i="4"/>
  <c r="AT17" i="4" s="1"/>
  <c r="AS20" i="4"/>
  <c r="AT20" i="4" s="1"/>
  <c r="AS16" i="4"/>
  <c r="AT16" i="4" s="1"/>
  <c r="AS14" i="4"/>
  <c r="AT14" i="4" s="1"/>
  <c r="AS9" i="4"/>
  <c r="AT9" i="4" s="1"/>
  <c r="AS13" i="4"/>
  <c r="AT13" i="4" s="1"/>
  <c r="AS19" i="4"/>
  <c r="AT19" i="4" s="1"/>
  <c r="AS10" i="4"/>
  <c r="AT10" i="4" s="1"/>
  <c r="AT23" i="4" l="1"/>
  <c r="AU9" i="4" s="1"/>
  <c r="AX9" i="4" s="1"/>
  <c r="AU17" i="4" l="1"/>
  <c r="AX17" i="4" s="1"/>
  <c r="AU13" i="4"/>
  <c r="AX13" i="4" s="1"/>
  <c r="AU12" i="4"/>
  <c r="AX12" i="4" s="1"/>
  <c r="AU18" i="4"/>
  <c r="AX18" i="4" s="1"/>
  <c r="AU14" i="4"/>
  <c r="AX14" i="4" s="1"/>
  <c r="AU16" i="4"/>
  <c r="AX16" i="4" s="1"/>
  <c r="AU11" i="4"/>
  <c r="AX11" i="4" s="1"/>
  <c r="AU10" i="4"/>
  <c r="AX10" i="4" s="1"/>
  <c r="AU19" i="4"/>
  <c r="AX19" i="4" s="1"/>
  <c r="AU15" i="4"/>
  <c r="AX15" i="4" s="1"/>
  <c r="AU22" i="4"/>
  <c r="AX22" i="4" s="1"/>
  <c r="AU21" i="4"/>
  <c r="AX21" i="4" s="1"/>
  <c r="AU20" i="4"/>
  <c r="AX20" i="4" s="1"/>
  <c r="AW23" i="4" l="1"/>
  <c r="AY18" i="4" s="1"/>
  <c r="AU23" i="4"/>
  <c r="AV23" i="4" s="1"/>
  <c r="AZ18" i="4" l="1"/>
  <c r="AY17" i="4"/>
  <c r="AZ17" i="4" s="1"/>
  <c r="AY20" i="4"/>
  <c r="AZ20" i="4" s="1"/>
  <c r="AY13" i="4"/>
  <c r="AZ13" i="4" s="1"/>
  <c r="AY14" i="4"/>
  <c r="AZ14" i="4" s="1"/>
  <c r="AY9" i="4"/>
  <c r="AZ9" i="4" s="1"/>
  <c r="AY19" i="4"/>
  <c r="AZ19" i="4" s="1"/>
  <c r="AY16" i="4"/>
  <c r="AZ16" i="4" s="1"/>
  <c r="AY22" i="4"/>
  <c r="AZ22" i="4" s="1"/>
  <c r="AY11" i="4"/>
  <c r="AZ11" i="4" s="1"/>
  <c r="AY15" i="4"/>
  <c r="AZ15" i="4" s="1"/>
  <c r="AY12" i="4"/>
  <c r="AZ12" i="4" s="1"/>
  <c r="AY10" i="4"/>
  <c r="AZ10" i="4" s="1"/>
  <c r="AY21" i="4"/>
  <c r="AZ21" i="4" s="1"/>
  <c r="AZ23" i="4" l="1"/>
  <c r="BA11" i="4" s="1"/>
  <c r="BD11" i="4" s="1"/>
  <c r="BA10" i="4" l="1"/>
  <c r="BD10" i="4" s="1"/>
  <c r="BA12" i="4"/>
  <c r="BD12" i="4" s="1"/>
  <c r="BA22" i="4"/>
  <c r="BD22" i="4" s="1"/>
  <c r="BA9" i="4"/>
  <c r="BD9" i="4" s="1"/>
  <c r="BA21" i="4"/>
  <c r="BD21" i="4" s="1"/>
  <c r="BA16" i="4"/>
  <c r="BD16" i="4" s="1"/>
  <c r="BA20" i="4"/>
  <c r="BD20" i="4" s="1"/>
  <c r="BA15" i="4"/>
  <c r="BD15" i="4" s="1"/>
  <c r="BA19" i="4"/>
  <c r="BD19" i="4" s="1"/>
  <c r="BA14" i="4"/>
  <c r="BD14" i="4" s="1"/>
  <c r="BA13" i="4"/>
  <c r="BD13" i="4" s="1"/>
  <c r="BA18" i="4"/>
  <c r="BD18" i="4" s="1"/>
  <c r="BA17" i="4"/>
  <c r="BD17" i="4" s="1"/>
  <c r="BC23" i="4" l="1"/>
  <c r="BE16" i="4" s="1"/>
  <c r="BA23" i="4"/>
  <c r="BB23" i="4" s="1"/>
  <c r="BF16" i="4" l="1"/>
  <c r="BE19" i="4"/>
  <c r="BF19" i="4" s="1"/>
  <c r="BE15" i="4"/>
  <c r="BF15" i="4" s="1"/>
  <c r="BE18" i="4"/>
  <c r="BF18" i="4" s="1"/>
  <c r="BE21" i="4"/>
  <c r="BF21" i="4" s="1"/>
  <c r="BE9" i="4"/>
  <c r="BF9" i="4" s="1"/>
  <c r="BE22" i="4"/>
  <c r="BF22" i="4" s="1"/>
  <c r="BE20" i="4"/>
  <c r="BF20" i="4" s="1"/>
  <c r="BE11" i="4"/>
  <c r="BF11" i="4" s="1"/>
  <c r="BE10" i="4"/>
  <c r="BF10" i="4" s="1"/>
  <c r="BE13" i="4"/>
  <c r="BF13" i="4" s="1"/>
  <c r="BE14" i="4"/>
  <c r="BF14" i="4" s="1"/>
  <c r="BE12" i="4"/>
  <c r="BF12" i="4" s="1"/>
  <c r="BE17" i="4"/>
  <c r="BF17" i="4" s="1"/>
  <c r="BF23" i="4" l="1"/>
  <c r="BG15" i="4" s="1"/>
  <c r="BJ15" i="4" s="1"/>
  <c r="BG17" i="4" l="1"/>
  <c r="BJ17" i="4" s="1"/>
  <c r="BG16" i="4"/>
  <c r="BJ16" i="4" s="1"/>
  <c r="BG20" i="4"/>
  <c r="BJ20" i="4" s="1"/>
  <c r="BG9" i="4"/>
  <c r="BJ9" i="4" s="1"/>
  <c r="BG12" i="4"/>
  <c r="BJ12" i="4" s="1"/>
  <c r="BG22" i="4"/>
  <c r="BJ22" i="4" s="1"/>
  <c r="BG11" i="4"/>
  <c r="BJ11" i="4" s="1"/>
  <c r="BG13" i="4"/>
  <c r="BJ13" i="4" s="1"/>
  <c r="BG19" i="4"/>
  <c r="BJ19" i="4" s="1"/>
  <c r="BG14" i="4"/>
  <c r="BJ14" i="4" s="1"/>
  <c r="BG21" i="4"/>
  <c r="BJ21" i="4" s="1"/>
  <c r="BG10" i="4"/>
  <c r="BJ10" i="4" s="1"/>
  <c r="BG18" i="4"/>
  <c r="BJ18" i="4" s="1"/>
  <c r="BI23" i="4" l="1"/>
  <c r="BK21" i="4" s="1"/>
  <c r="BL21" i="4" s="1"/>
  <c r="BG23" i="4"/>
  <c r="BH23" i="4" s="1"/>
  <c r="BK20" i="4" l="1"/>
  <c r="BL20" i="4" s="1"/>
  <c r="BK11" i="4"/>
  <c r="BL11" i="4" s="1"/>
  <c r="BK22" i="4"/>
  <c r="BL22" i="4" s="1"/>
  <c r="BK10" i="4"/>
  <c r="BL10" i="4" s="1"/>
  <c r="BK17" i="4"/>
  <c r="BL17" i="4" s="1"/>
  <c r="BK14" i="4"/>
  <c r="BL14" i="4" s="1"/>
  <c r="BK16" i="4"/>
  <c r="BL16" i="4" s="1"/>
  <c r="BK18" i="4"/>
  <c r="BL18" i="4" s="1"/>
  <c r="BK12" i="4"/>
  <c r="BL12" i="4" s="1"/>
  <c r="BK19" i="4"/>
  <c r="BL19" i="4" s="1"/>
  <c r="BK9" i="4"/>
  <c r="BL9" i="4" s="1"/>
  <c r="BK13" i="4"/>
  <c r="BL13" i="4" s="1"/>
  <c r="BK15" i="4"/>
  <c r="BL15" i="4" s="1"/>
  <c r="BL23" i="4" l="1"/>
  <c r="BM14" i="4" s="1"/>
  <c r="BP14" i="4" s="1"/>
  <c r="BM22" i="4" l="1"/>
  <c r="BP22" i="4" s="1"/>
  <c r="BM20" i="4"/>
  <c r="BP20" i="4" s="1"/>
  <c r="BM12" i="4"/>
  <c r="BP12" i="4" s="1"/>
  <c r="BM15" i="4"/>
  <c r="BP15" i="4" s="1"/>
  <c r="BM11" i="4"/>
  <c r="BP11" i="4" s="1"/>
  <c r="BM16" i="4"/>
  <c r="BP16" i="4" s="1"/>
  <c r="BM13" i="4"/>
  <c r="BP13" i="4" s="1"/>
  <c r="BM18" i="4"/>
  <c r="BP18" i="4" s="1"/>
  <c r="BM21" i="4"/>
  <c r="BP21" i="4" s="1"/>
  <c r="BM17" i="4"/>
  <c r="BP17" i="4" s="1"/>
  <c r="BM10" i="4"/>
  <c r="BP10" i="4" s="1"/>
  <c r="BM19" i="4"/>
  <c r="BP19" i="4" s="1"/>
  <c r="BM9" i="4"/>
  <c r="BP9" i="4" s="1"/>
  <c r="BO23" i="4" l="1"/>
  <c r="BQ13" i="4" s="1"/>
  <c r="BM23" i="4"/>
  <c r="BN23" i="4" s="1"/>
  <c r="BR13" i="4" l="1"/>
  <c r="BQ22" i="4"/>
  <c r="BR22" i="4" s="1"/>
  <c r="BQ14" i="4"/>
  <c r="BR14" i="4" s="1"/>
  <c r="BQ17" i="4"/>
  <c r="BR17" i="4" s="1"/>
  <c r="BQ9" i="4"/>
  <c r="BR9" i="4" s="1"/>
  <c r="BQ11" i="4"/>
  <c r="BR11" i="4" s="1"/>
  <c r="BQ18" i="4"/>
  <c r="BR18" i="4" s="1"/>
  <c r="BQ16" i="4"/>
  <c r="BR16" i="4" s="1"/>
  <c r="BQ10" i="4"/>
  <c r="BR10" i="4" s="1"/>
  <c r="BQ12" i="4"/>
  <c r="BR12" i="4" s="1"/>
  <c r="BQ15" i="4"/>
  <c r="BR15" i="4" s="1"/>
  <c r="BQ19" i="4"/>
  <c r="BR19" i="4" s="1"/>
  <c r="BQ21" i="4"/>
  <c r="BR21" i="4" s="1"/>
  <c r="BQ20" i="4"/>
  <c r="BR20" i="4" s="1"/>
  <c r="BR23" i="4" l="1"/>
  <c r="BS9" i="4" s="1"/>
  <c r="BS12" i="4" l="1"/>
  <c r="BV12" i="4" s="1"/>
  <c r="BS11" i="4"/>
  <c r="BV11" i="4" s="1"/>
  <c r="BS17" i="4"/>
  <c r="BV17" i="4" s="1"/>
  <c r="BS21" i="4"/>
  <c r="BV21" i="4" s="1"/>
  <c r="BS10" i="4"/>
  <c r="BV10" i="4" s="1"/>
  <c r="BS20" i="4"/>
  <c r="BV20" i="4" s="1"/>
  <c r="BS13" i="4"/>
  <c r="BV13" i="4" s="1"/>
  <c r="BS14" i="4"/>
  <c r="BV14" i="4" s="1"/>
  <c r="BS18" i="4"/>
  <c r="BV18" i="4" s="1"/>
  <c r="BS16" i="4"/>
  <c r="BV16" i="4" s="1"/>
  <c r="BS22" i="4"/>
  <c r="BV22" i="4" s="1"/>
  <c r="BS15" i="4"/>
  <c r="BV15" i="4" s="1"/>
  <c r="BS19" i="4"/>
  <c r="BV19" i="4" s="1"/>
  <c r="BV9" i="4"/>
  <c r="BU23" i="4" l="1"/>
  <c r="BW9" i="4" s="1"/>
  <c r="BS23" i="4"/>
  <c r="BT23" i="4" s="1"/>
  <c r="BX9" i="4" l="1"/>
  <c r="BW18" i="4"/>
  <c r="BX18" i="4" s="1"/>
  <c r="BW13" i="4"/>
  <c r="BX13" i="4" s="1"/>
  <c r="BW14" i="4"/>
  <c r="BX14" i="4" s="1"/>
  <c r="BW17" i="4"/>
  <c r="BX17" i="4" s="1"/>
  <c r="BW15" i="4"/>
  <c r="BX15" i="4" s="1"/>
  <c r="BW16" i="4"/>
  <c r="BX16" i="4" s="1"/>
  <c r="BW11" i="4"/>
  <c r="BX11" i="4" s="1"/>
  <c r="BW22" i="4"/>
  <c r="BX22" i="4" s="1"/>
  <c r="BW12" i="4"/>
  <c r="BX12" i="4" s="1"/>
  <c r="BW19" i="4"/>
  <c r="BX19" i="4" s="1"/>
  <c r="BW20" i="4"/>
  <c r="BX20" i="4" s="1"/>
  <c r="BW10" i="4"/>
  <c r="BX10" i="4" s="1"/>
  <c r="BW21" i="4"/>
  <c r="BX21" i="4" s="1"/>
  <c r="BX23" i="4" l="1"/>
  <c r="BY9" i="4" s="1"/>
  <c r="BY17" i="4" l="1"/>
  <c r="CB17" i="4" s="1"/>
  <c r="BY20" i="4"/>
  <c r="CB20" i="4" s="1"/>
  <c r="BY18" i="4"/>
  <c r="CB18" i="4" s="1"/>
  <c r="BY14" i="4"/>
  <c r="CB14" i="4" s="1"/>
  <c r="BY13" i="4"/>
  <c r="CB13" i="4" s="1"/>
  <c r="BY22" i="4"/>
  <c r="CB22" i="4" s="1"/>
  <c r="BY21" i="4"/>
  <c r="CB21" i="4" s="1"/>
  <c r="BY16" i="4"/>
  <c r="CB16" i="4" s="1"/>
  <c r="BY12" i="4"/>
  <c r="CB12" i="4" s="1"/>
  <c r="BY15" i="4"/>
  <c r="CB15" i="4" s="1"/>
  <c r="BY10" i="4"/>
  <c r="CB10" i="4" s="1"/>
  <c r="BY11" i="4"/>
  <c r="CB11" i="4" s="1"/>
  <c r="BY19" i="4"/>
  <c r="CB19" i="4" s="1"/>
  <c r="CB9" i="4"/>
  <c r="BY23" i="4" l="1"/>
  <c r="BZ23" i="4" s="1"/>
  <c r="CA23" i="4"/>
  <c r="CC13" i="4" s="1"/>
  <c r="CD13" i="4" l="1"/>
  <c r="CC15" i="4"/>
  <c r="CD15" i="4" s="1"/>
  <c r="CC20" i="4"/>
  <c r="CD20" i="4" s="1"/>
  <c r="CC17" i="4"/>
  <c r="CD17" i="4" s="1"/>
  <c r="CC9" i="4"/>
  <c r="CD9" i="4" s="1"/>
  <c r="CC21" i="4"/>
  <c r="CD21" i="4" s="1"/>
  <c r="CC19" i="4"/>
  <c r="CD19" i="4" s="1"/>
  <c r="CC12" i="4"/>
  <c r="CD12" i="4" s="1"/>
  <c r="CC10" i="4"/>
  <c r="CD10" i="4" s="1"/>
  <c r="CC18" i="4"/>
  <c r="CD18" i="4" s="1"/>
  <c r="CC22" i="4"/>
  <c r="CD22" i="4" s="1"/>
  <c r="CC14" i="4"/>
  <c r="CD14" i="4" s="1"/>
  <c r="CC11" i="4"/>
  <c r="CD11" i="4" s="1"/>
  <c r="CC16" i="4"/>
  <c r="CD16" i="4" s="1"/>
  <c r="CD23" i="4" l="1"/>
  <c r="CE14" i="4" s="1"/>
  <c r="CH14" i="4" s="1"/>
  <c r="CE12" i="4" l="1"/>
  <c r="CH12" i="4" s="1"/>
  <c r="CE20" i="4"/>
  <c r="CH20" i="4" s="1"/>
  <c r="CE15" i="4"/>
  <c r="CH15" i="4" s="1"/>
  <c r="CE13" i="4"/>
  <c r="CH13" i="4" s="1"/>
  <c r="CE11" i="4"/>
  <c r="CH11" i="4" s="1"/>
  <c r="CE10" i="4"/>
  <c r="CH10" i="4" s="1"/>
  <c r="CE17" i="4"/>
  <c r="CH17" i="4" s="1"/>
  <c r="CE16" i="4"/>
  <c r="CH16" i="4" s="1"/>
  <c r="CE19" i="4"/>
  <c r="CH19" i="4" s="1"/>
  <c r="CE9" i="4"/>
  <c r="CH9" i="4" s="1"/>
  <c r="CE18" i="4"/>
  <c r="CH18" i="4" s="1"/>
  <c r="CE21" i="4"/>
  <c r="CH21" i="4" s="1"/>
  <c r="CE22" i="4"/>
  <c r="CH22" i="4" s="1"/>
  <c r="CG23" i="4" l="1"/>
  <c r="CI12" i="4" s="1"/>
  <c r="CE23" i="4"/>
  <c r="CF23" i="4" s="1"/>
  <c r="CJ12" i="4" l="1"/>
  <c r="CI19" i="4"/>
  <c r="CJ19" i="4" s="1"/>
  <c r="CI14" i="4"/>
  <c r="CJ14" i="4" s="1"/>
  <c r="CI16" i="4"/>
  <c r="CJ16" i="4" s="1"/>
  <c r="CI13" i="4"/>
  <c r="CJ13" i="4" s="1"/>
  <c r="CI17" i="4"/>
  <c r="CJ17" i="4" s="1"/>
  <c r="CI11" i="4"/>
  <c r="CJ11" i="4" s="1"/>
  <c r="CI21" i="4"/>
  <c r="CJ21" i="4" s="1"/>
  <c r="CI10" i="4"/>
  <c r="CJ10" i="4" s="1"/>
  <c r="CI22" i="4"/>
  <c r="CJ22" i="4" s="1"/>
  <c r="CI20" i="4"/>
  <c r="CJ20" i="4" s="1"/>
  <c r="CI15" i="4"/>
  <c r="CJ15" i="4" s="1"/>
  <c r="CI9" i="4"/>
  <c r="CJ9" i="4" s="1"/>
  <c r="CI18" i="4"/>
  <c r="CJ18" i="4" s="1"/>
  <c r="CJ23" i="4" l="1"/>
  <c r="CK10" i="4" s="1"/>
  <c r="CN10" i="4" s="1"/>
  <c r="CK19" i="4" l="1"/>
  <c r="CN19" i="4" s="1"/>
  <c r="CK18" i="4"/>
  <c r="CN18" i="4" s="1"/>
  <c r="CK13" i="4"/>
  <c r="CN13" i="4" s="1"/>
  <c r="CK9" i="4"/>
  <c r="CN9" i="4" s="1"/>
  <c r="CK16" i="4"/>
  <c r="CN16" i="4" s="1"/>
  <c r="CK15" i="4"/>
  <c r="CN15" i="4" s="1"/>
  <c r="CK17" i="4"/>
  <c r="CN17" i="4" s="1"/>
  <c r="CK22" i="4"/>
  <c r="CN22" i="4" s="1"/>
  <c r="CK12" i="4"/>
  <c r="CN12" i="4" s="1"/>
  <c r="CK20" i="4"/>
  <c r="CN20" i="4" s="1"/>
  <c r="CK11" i="4"/>
  <c r="CN11" i="4" s="1"/>
  <c r="CK14" i="4"/>
  <c r="CN14" i="4" s="1"/>
  <c r="CK21" i="4"/>
  <c r="CN21" i="4" s="1"/>
  <c r="CM23" i="4" l="1"/>
  <c r="CO17" i="4" s="1"/>
  <c r="CK23" i="4"/>
  <c r="CL23" i="4" s="1"/>
  <c r="CP17" i="4" l="1"/>
  <c r="CO15" i="4"/>
  <c r="CP15" i="4" s="1"/>
  <c r="CO14" i="4"/>
  <c r="CP14" i="4" s="1"/>
  <c r="CO21" i="4"/>
  <c r="CP21" i="4" s="1"/>
  <c r="CO20" i="4"/>
  <c r="CP20" i="4" s="1"/>
  <c r="CO9" i="4"/>
  <c r="CP9" i="4" s="1"/>
  <c r="CO13" i="4"/>
  <c r="CP13" i="4" s="1"/>
  <c r="CO22" i="4"/>
  <c r="CP22" i="4" s="1"/>
  <c r="CO18" i="4"/>
  <c r="CP18" i="4" s="1"/>
  <c r="CO11" i="4"/>
  <c r="CP11" i="4" s="1"/>
  <c r="CO19" i="4"/>
  <c r="CP19" i="4" s="1"/>
  <c r="CO16" i="4"/>
  <c r="CP16" i="4" s="1"/>
  <c r="CO12" i="4"/>
  <c r="CP12" i="4" s="1"/>
  <c r="CO10" i="4"/>
  <c r="CP10" i="4" s="1"/>
  <c r="CP23" i="4" l="1"/>
  <c r="CQ9" i="4" s="1"/>
  <c r="CQ13" i="4" l="1"/>
  <c r="CT13" i="4" s="1"/>
  <c r="CQ10" i="4"/>
  <c r="CT10" i="4" s="1"/>
  <c r="CQ18" i="4"/>
  <c r="CT18" i="4" s="1"/>
  <c r="CQ19" i="4"/>
  <c r="CT19" i="4" s="1"/>
  <c r="CQ17" i="4"/>
  <c r="CT17" i="4" s="1"/>
  <c r="CQ15" i="4"/>
  <c r="CT15" i="4" s="1"/>
  <c r="CQ22" i="4"/>
  <c r="CT22" i="4" s="1"/>
  <c r="CQ21" i="4"/>
  <c r="CT21" i="4" s="1"/>
  <c r="CQ11" i="4"/>
  <c r="CT11" i="4" s="1"/>
  <c r="CQ20" i="4"/>
  <c r="CT20" i="4" s="1"/>
  <c r="CQ12" i="4"/>
  <c r="CT12" i="4" s="1"/>
  <c r="CQ14" i="4"/>
  <c r="CT14" i="4" s="1"/>
  <c r="CQ16" i="4"/>
  <c r="CT16" i="4" s="1"/>
  <c r="CT9" i="4"/>
  <c r="CS23" i="4" l="1"/>
  <c r="CU20" i="4" s="1"/>
  <c r="CQ23" i="4"/>
  <c r="CR23" i="4" s="1"/>
  <c r="CV20" i="4" l="1"/>
  <c r="CU14" i="4"/>
  <c r="CV14" i="4" s="1"/>
  <c r="CU18" i="4"/>
  <c r="CV18" i="4" s="1"/>
  <c r="CU22" i="4"/>
  <c r="CV22" i="4" s="1"/>
  <c r="CU16" i="4"/>
  <c r="CV16" i="4" s="1"/>
  <c r="CU11" i="4"/>
  <c r="CV11" i="4" s="1"/>
  <c r="CU19" i="4"/>
  <c r="CV19" i="4" s="1"/>
  <c r="CU15" i="4"/>
  <c r="CV15" i="4" s="1"/>
  <c r="CU9" i="4"/>
  <c r="CV9" i="4" s="1"/>
  <c r="CU13" i="4"/>
  <c r="CV13" i="4" s="1"/>
  <c r="CU10" i="4"/>
  <c r="CV10" i="4" s="1"/>
  <c r="CU17" i="4"/>
  <c r="CV17" i="4" s="1"/>
  <c r="CU12" i="4"/>
  <c r="CV12" i="4" s="1"/>
  <c r="CU21" i="4"/>
  <c r="CV21" i="4" s="1"/>
  <c r="CV23" i="4" l="1"/>
  <c r="CW22" i="4" s="1"/>
  <c r="CZ22" i="4" s="1"/>
  <c r="CW18" i="4" l="1"/>
  <c r="CZ18" i="4" s="1"/>
  <c r="CW15" i="4"/>
  <c r="CZ15" i="4" s="1"/>
  <c r="CW16" i="4"/>
  <c r="CZ16" i="4" s="1"/>
  <c r="CW20" i="4"/>
  <c r="CZ20" i="4" s="1"/>
  <c r="CW21" i="4"/>
  <c r="CZ21" i="4" s="1"/>
  <c r="CW11" i="4"/>
  <c r="CZ11" i="4" s="1"/>
  <c r="CW17" i="4"/>
  <c r="CZ17" i="4" s="1"/>
  <c r="CW19" i="4"/>
  <c r="CZ19" i="4" s="1"/>
  <c r="CW10" i="4"/>
  <c r="CZ10" i="4" s="1"/>
  <c r="CW14" i="4"/>
  <c r="CZ14" i="4" s="1"/>
  <c r="CW12" i="4"/>
  <c r="CZ12" i="4" s="1"/>
  <c r="CW13" i="4"/>
  <c r="CZ13" i="4" s="1"/>
  <c r="CW9" i="4"/>
  <c r="CZ9" i="4" s="1"/>
  <c r="CY23" i="4" l="1"/>
  <c r="DA18" i="4" s="1"/>
  <c r="CW23" i="4"/>
  <c r="CX23" i="4" s="1"/>
  <c r="DB18" i="4" l="1"/>
  <c r="DA13" i="4"/>
  <c r="DB13" i="4" s="1"/>
  <c r="DA22" i="4"/>
  <c r="DB22" i="4" s="1"/>
  <c r="DA16" i="4"/>
  <c r="DB16" i="4" s="1"/>
  <c r="DA14" i="4"/>
  <c r="DB14" i="4" s="1"/>
  <c r="DA9" i="4"/>
  <c r="DB9" i="4" s="1"/>
  <c r="DA10" i="4"/>
  <c r="DB10" i="4" s="1"/>
  <c r="DA12" i="4"/>
  <c r="DB12" i="4" s="1"/>
  <c r="DA19" i="4"/>
  <c r="DB19" i="4" s="1"/>
  <c r="DA21" i="4"/>
  <c r="DB21" i="4" s="1"/>
  <c r="DA15" i="4"/>
  <c r="DB15" i="4" s="1"/>
  <c r="DA11" i="4"/>
  <c r="DB11" i="4" s="1"/>
  <c r="DA20" i="4"/>
  <c r="DB20" i="4" s="1"/>
  <c r="DA17" i="4"/>
  <c r="DB17" i="4" s="1"/>
  <c r="DB23" i="4" l="1"/>
  <c r="DC20" i="4" s="1"/>
  <c r="DF20" i="4" s="1"/>
  <c r="DC13" i="4" l="1"/>
  <c r="DF13" i="4" s="1"/>
  <c r="DC17" i="4"/>
  <c r="DF17" i="4" s="1"/>
  <c r="DC18" i="4"/>
  <c r="DF18" i="4" s="1"/>
  <c r="DC11" i="4"/>
  <c r="DF11" i="4" s="1"/>
  <c r="DC9" i="4"/>
  <c r="DF9" i="4" s="1"/>
  <c r="DC16" i="4"/>
  <c r="DF16" i="4" s="1"/>
  <c r="DC14" i="4"/>
  <c r="DF14" i="4" s="1"/>
  <c r="DC19" i="4"/>
  <c r="DF19" i="4" s="1"/>
  <c r="DC21" i="4"/>
  <c r="DF21" i="4" s="1"/>
  <c r="DC10" i="4"/>
  <c r="DF10" i="4" s="1"/>
  <c r="DC12" i="4"/>
  <c r="DF12" i="4" s="1"/>
  <c r="DC22" i="4"/>
  <c r="DF22" i="4" s="1"/>
  <c r="DC15" i="4"/>
  <c r="DF15" i="4" s="1"/>
  <c r="DC23" i="4" l="1"/>
  <c r="DD23" i="4" s="1"/>
  <c r="DE23" i="4"/>
  <c r="DG12" i="4" s="1"/>
  <c r="DH12" i="4" l="1"/>
  <c r="DG20" i="4"/>
  <c r="DH20" i="4" s="1"/>
  <c r="DG10" i="4"/>
  <c r="DH10" i="4" s="1"/>
  <c r="DG13" i="4"/>
  <c r="DH13" i="4" s="1"/>
  <c r="DG19" i="4"/>
  <c r="DH19" i="4" s="1"/>
  <c r="DG14" i="4"/>
  <c r="DH14" i="4" s="1"/>
  <c r="DG16" i="4"/>
  <c r="DH16" i="4" s="1"/>
  <c r="DG21" i="4"/>
  <c r="DH21" i="4" s="1"/>
  <c r="DG18" i="4"/>
  <c r="DH18" i="4" s="1"/>
  <c r="DG11" i="4"/>
  <c r="DH11" i="4" s="1"/>
  <c r="DG15" i="4"/>
  <c r="DH15" i="4" s="1"/>
  <c r="DG9" i="4"/>
  <c r="DH9" i="4" s="1"/>
  <c r="DG17" i="4"/>
  <c r="DH17" i="4" s="1"/>
  <c r="DG22" i="4"/>
  <c r="DH22" i="4" s="1"/>
  <c r="DH23" i="4" l="1"/>
  <c r="DI20" i="4" s="1"/>
  <c r="DL20" i="4" s="1"/>
  <c r="DI13" i="4" l="1"/>
  <c r="DL13" i="4" s="1"/>
  <c r="DI9" i="4"/>
  <c r="DI19" i="4"/>
  <c r="DL19" i="4" s="1"/>
  <c r="DI10" i="4"/>
  <c r="DL10" i="4" s="1"/>
  <c r="DI18" i="4"/>
  <c r="DL18" i="4" s="1"/>
  <c r="DI11" i="4"/>
  <c r="DL11" i="4" s="1"/>
  <c r="DI15" i="4"/>
  <c r="DL15" i="4" s="1"/>
  <c r="DI12" i="4"/>
  <c r="DL12" i="4" s="1"/>
  <c r="DI14" i="4"/>
  <c r="DL14" i="4" s="1"/>
  <c r="DI16" i="4"/>
  <c r="DL16" i="4" s="1"/>
  <c r="DI17" i="4"/>
  <c r="DL17" i="4" s="1"/>
  <c r="DI22" i="4"/>
  <c r="DL22" i="4" s="1"/>
  <c r="DI21" i="4"/>
  <c r="DL21" i="4" s="1"/>
  <c r="DL9" i="4"/>
  <c r="DI23" i="4" l="1"/>
  <c r="DJ23" i="4" s="1"/>
  <c r="DK23" i="4"/>
  <c r="DM18" i="4" s="1"/>
  <c r="DN18" i="4" l="1"/>
  <c r="DM20" i="4"/>
  <c r="DN20" i="4" s="1"/>
  <c r="DM19" i="4"/>
  <c r="DN19" i="4" s="1"/>
  <c r="DM13" i="4"/>
  <c r="DN13" i="4" s="1"/>
  <c r="DM15" i="4"/>
  <c r="DN15" i="4" s="1"/>
  <c r="DM22" i="4"/>
  <c r="DN22" i="4" s="1"/>
  <c r="DM21" i="4"/>
  <c r="DN21" i="4" s="1"/>
  <c r="DM17" i="4"/>
  <c r="DN17" i="4" s="1"/>
  <c r="DM14" i="4"/>
  <c r="DN14" i="4" s="1"/>
  <c r="DM9" i="4"/>
  <c r="DN9" i="4" s="1"/>
  <c r="DM11" i="4"/>
  <c r="DN11" i="4" s="1"/>
  <c r="DM10" i="4"/>
  <c r="DN10" i="4" s="1"/>
  <c r="DM16" i="4"/>
  <c r="DN16" i="4" s="1"/>
  <c r="DM12" i="4"/>
  <c r="DN12" i="4" s="1"/>
  <c r="DN23" i="4" l="1"/>
  <c r="DO9" i="4" s="1"/>
  <c r="DO19" i="4" l="1"/>
  <c r="DR19" i="4" s="1"/>
  <c r="DO11" i="4"/>
  <c r="DR11" i="4" s="1"/>
  <c r="DO22" i="4"/>
  <c r="DR22" i="4" s="1"/>
  <c r="DO18" i="4"/>
  <c r="DR18" i="4" s="1"/>
  <c r="DO10" i="4"/>
  <c r="DR10" i="4" s="1"/>
  <c r="DO13" i="4"/>
  <c r="DR13" i="4" s="1"/>
  <c r="DO20" i="4"/>
  <c r="DR20" i="4" s="1"/>
  <c r="DO12" i="4"/>
  <c r="DR12" i="4" s="1"/>
  <c r="DO16" i="4"/>
  <c r="DR16" i="4" s="1"/>
  <c r="DO21" i="4"/>
  <c r="DR21" i="4" s="1"/>
  <c r="DO17" i="4"/>
  <c r="DR17" i="4" s="1"/>
  <c r="DO15" i="4"/>
  <c r="DR15" i="4" s="1"/>
  <c r="DO14" i="4"/>
  <c r="DR14" i="4" s="1"/>
  <c r="DR9" i="4"/>
  <c r="DQ23" i="4" l="1"/>
  <c r="DS9" i="4" s="1"/>
  <c r="DO23" i="4"/>
  <c r="DP23" i="4" s="1"/>
  <c r="DT9" i="4" l="1"/>
  <c r="DS15" i="4"/>
  <c r="DT15" i="4" s="1"/>
  <c r="DS22" i="4"/>
  <c r="DT22" i="4" s="1"/>
  <c r="DS11" i="4"/>
  <c r="DT11" i="4" s="1"/>
  <c r="DS14" i="4"/>
  <c r="DT14" i="4" s="1"/>
  <c r="DS10" i="4"/>
  <c r="DT10" i="4" s="1"/>
  <c r="DS16" i="4"/>
  <c r="DT16" i="4" s="1"/>
  <c r="DS19" i="4"/>
  <c r="DT19" i="4" s="1"/>
  <c r="DS13" i="4"/>
  <c r="DT13" i="4" s="1"/>
  <c r="DS17" i="4"/>
  <c r="DT17" i="4" s="1"/>
  <c r="DS12" i="4"/>
  <c r="DT12" i="4" s="1"/>
  <c r="DS20" i="4"/>
  <c r="DT20" i="4" s="1"/>
  <c r="DS21" i="4"/>
  <c r="DT21" i="4" s="1"/>
  <c r="DS18" i="4"/>
  <c r="DT18" i="4" s="1"/>
  <c r="DT23" i="4" l="1"/>
  <c r="DU9" i="4" s="1"/>
  <c r="DU11" i="4" l="1"/>
  <c r="DX11" i="4" s="1"/>
  <c r="DU19" i="4"/>
  <c r="DX19" i="4" s="1"/>
  <c r="DU15" i="4"/>
  <c r="DX15" i="4" s="1"/>
  <c r="DU12" i="4"/>
  <c r="DX12" i="4" s="1"/>
  <c r="DU10" i="4"/>
  <c r="DX10" i="4" s="1"/>
  <c r="DU14" i="4"/>
  <c r="DX14" i="4" s="1"/>
  <c r="DU16" i="4"/>
  <c r="DX16" i="4" s="1"/>
  <c r="DU22" i="4"/>
  <c r="DX22" i="4" s="1"/>
  <c r="DU20" i="4"/>
  <c r="DX20" i="4" s="1"/>
  <c r="DU18" i="4"/>
  <c r="DX18" i="4" s="1"/>
  <c r="DU21" i="4"/>
  <c r="DX21" i="4" s="1"/>
  <c r="DU13" i="4"/>
  <c r="DX13" i="4" s="1"/>
  <c r="DU17" i="4"/>
  <c r="DX17" i="4" s="1"/>
  <c r="DX9" i="4"/>
  <c r="DU23" i="4" l="1"/>
  <c r="DV23" i="4" s="1"/>
  <c r="DW23" i="4"/>
  <c r="DY15" i="4" s="1"/>
  <c r="DZ15" i="4" l="1"/>
  <c r="DY19" i="4"/>
  <c r="DZ19" i="4" s="1"/>
  <c r="DY11" i="4"/>
  <c r="DZ11" i="4" s="1"/>
  <c r="DY14" i="4"/>
  <c r="DZ14" i="4" s="1"/>
  <c r="DY18" i="4"/>
  <c r="DZ18" i="4" s="1"/>
  <c r="DY13" i="4"/>
  <c r="DZ13" i="4" s="1"/>
  <c r="DY16" i="4"/>
  <c r="DZ16" i="4" s="1"/>
  <c r="DY17" i="4"/>
  <c r="DZ17" i="4" s="1"/>
  <c r="DY10" i="4"/>
  <c r="DZ10" i="4" s="1"/>
  <c r="DY20" i="4"/>
  <c r="DZ20" i="4" s="1"/>
  <c r="DY12" i="4"/>
  <c r="DZ12" i="4" s="1"/>
  <c r="DY22" i="4"/>
  <c r="DZ22" i="4" s="1"/>
  <c r="DY9" i="4"/>
  <c r="DZ9" i="4" s="1"/>
  <c r="DY21" i="4"/>
  <c r="DZ21" i="4" s="1"/>
  <c r="DZ23" i="4" l="1"/>
  <c r="EA16" i="4" s="1"/>
  <c r="ED16" i="4" s="1"/>
  <c r="EA14" i="4" l="1"/>
  <c r="ED14" i="4" s="1"/>
  <c r="EA15" i="4"/>
  <c r="ED15" i="4" s="1"/>
  <c r="EA19" i="4"/>
  <c r="ED19" i="4" s="1"/>
  <c r="EA20" i="4"/>
  <c r="ED20" i="4" s="1"/>
  <c r="EA10" i="4"/>
  <c r="ED10" i="4" s="1"/>
  <c r="EA13" i="4"/>
  <c r="ED13" i="4" s="1"/>
  <c r="EA17" i="4"/>
  <c r="ED17" i="4" s="1"/>
  <c r="EA9" i="4"/>
  <c r="EA22" i="4"/>
  <c r="ED22" i="4" s="1"/>
  <c r="EA12" i="4"/>
  <c r="ED12" i="4" s="1"/>
  <c r="EA11" i="4"/>
  <c r="ED11" i="4" s="1"/>
  <c r="EA18" i="4"/>
  <c r="ED18" i="4" s="1"/>
  <c r="EA21" i="4"/>
  <c r="ED21" i="4" s="1"/>
  <c r="EA23" i="4" l="1"/>
  <c r="EB23" i="4" s="1"/>
  <c r="ED9" i="4"/>
  <c r="EC23" i="4" s="1"/>
  <c r="EE14" i="4" s="1"/>
  <c r="EF14" i="4" l="1"/>
  <c r="EE17" i="4"/>
  <c r="EF17" i="4" s="1"/>
  <c r="EE10" i="4"/>
  <c r="EF10" i="4" s="1"/>
  <c r="EE11" i="4"/>
  <c r="EF11" i="4" s="1"/>
  <c r="EE20" i="4"/>
  <c r="EF20" i="4" s="1"/>
  <c r="EE19" i="4"/>
  <c r="EF19" i="4" s="1"/>
  <c r="EE16" i="4"/>
  <c r="EF16" i="4" s="1"/>
  <c r="EE21" i="4"/>
  <c r="EF21" i="4" s="1"/>
  <c r="EE18" i="4"/>
  <c r="EF18" i="4" s="1"/>
  <c r="EE13" i="4"/>
  <c r="EF13" i="4" s="1"/>
  <c r="EE22" i="4"/>
  <c r="EF22" i="4" s="1"/>
  <c r="EE12" i="4"/>
  <c r="EF12" i="4" s="1"/>
  <c r="EE9" i="4"/>
  <c r="EF9" i="4" s="1"/>
  <c r="EE15" i="4"/>
  <c r="EF15" i="4" s="1"/>
  <c r="EF23" i="4" l="1"/>
  <c r="EG11" i="4" s="1"/>
  <c r="EJ11" i="4" s="1"/>
  <c r="EG16" i="4" l="1"/>
  <c r="EJ16" i="4" s="1"/>
  <c r="EG13" i="4"/>
  <c r="EJ13" i="4" s="1"/>
  <c r="EG18" i="4"/>
  <c r="EJ18" i="4" s="1"/>
  <c r="EG22" i="4"/>
  <c r="EJ22" i="4" s="1"/>
  <c r="EG19" i="4"/>
  <c r="EJ19" i="4" s="1"/>
  <c r="EG21" i="4"/>
  <c r="EJ21" i="4" s="1"/>
  <c r="EG17" i="4"/>
  <c r="EJ17" i="4" s="1"/>
  <c r="EG14" i="4"/>
  <c r="EJ14" i="4" s="1"/>
  <c r="EG9" i="4"/>
  <c r="EJ9" i="4" s="1"/>
  <c r="EG20" i="4"/>
  <c r="EJ20" i="4" s="1"/>
  <c r="EG12" i="4"/>
  <c r="EJ12" i="4" s="1"/>
  <c r="EG15" i="4"/>
  <c r="EJ15" i="4" s="1"/>
  <c r="EG10" i="4"/>
  <c r="EJ10" i="4" s="1"/>
  <c r="EI23" i="4" l="1"/>
  <c r="EK9" i="4" s="1"/>
  <c r="EG23" i="4"/>
  <c r="EH23" i="4" s="1"/>
  <c r="EL9" i="4" l="1"/>
  <c r="EK21" i="4"/>
  <c r="EL21" i="4" s="1"/>
  <c r="EK20" i="4"/>
  <c r="EL20" i="4" s="1"/>
  <c r="EK12" i="4"/>
  <c r="EL12" i="4" s="1"/>
  <c r="EK14" i="4"/>
  <c r="EL14" i="4" s="1"/>
  <c r="EK11" i="4"/>
  <c r="EL11" i="4" s="1"/>
  <c r="EK15" i="4"/>
  <c r="EL15" i="4" s="1"/>
  <c r="EK19" i="4"/>
  <c r="EL19" i="4" s="1"/>
  <c r="EK13" i="4"/>
  <c r="EL13" i="4" s="1"/>
  <c r="EK16" i="4"/>
  <c r="EL16" i="4" s="1"/>
  <c r="EK18" i="4"/>
  <c r="EL18" i="4" s="1"/>
  <c r="EK22" i="4"/>
  <c r="EL22" i="4" s="1"/>
  <c r="EK10" i="4"/>
  <c r="EL10" i="4" s="1"/>
  <c r="EK17" i="4"/>
  <c r="EL17" i="4" s="1"/>
  <c r="EL23" i="4" l="1"/>
  <c r="EM22" i="4" s="1"/>
  <c r="EP22" i="4" s="1"/>
  <c r="EM21" i="4" l="1"/>
  <c r="EP21" i="4" s="1"/>
  <c r="EM14" i="4"/>
  <c r="EP14" i="4" s="1"/>
  <c r="EM20" i="4"/>
  <c r="EP20" i="4" s="1"/>
  <c r="EM11" i="4"/>
  <c r="EP11" i="4" s="1"/>
  <c r="EM12" i="4"/>
  <c r="EP12" i="4" s="1"/>
  <c r="EM16" i="4"/>
  <c r="EP16" i="4" s="1"/>
  <c r="EM9" i="4"/>
  <c r="EP9" i="4" s="1"/>
  <c r="EM13" i="4"/>
  <c r="EP13" i="4" s="1"/>
  <c r="EM15" i="4"/>
  <c r="EP15" i="4" s="1"/>
  <c r="EM18" i="4"/>
  <c r="EP18" i="4" s="1"/>
  <c r="EM10" i="4"/>
  <c r="EP10" i="4" s="1"/>
  <c r="EM17" i="4"/>
  <c r="EP17" i="4" s="1"/>
  <c r="EM19" i="4"/>
  <c r="EP19" i="4" s="1"/>
  <c r="EO23" i="4" l="1"/>
  <c r="EQ11" i="4" s="1"/>
  <c r="EM23" i="4"/>
  <c r="EN23" i="4" s="1"/>
  <c r="EQ19" i="4" l="1"/>
  <c r="ER19" i="4" s="1"/>
  <c r="EQ15" i="4"/>
  <c r="ER15" i="4" s="1"/>
  <c r="EQ13" i="4"/>
  <c r="ER13" i="4" s="1"/>
  <c r="EQ12" i="4"/>
  <c r="ER12" i="4" s="1"/>
  <c r="EQ21" i="4"/>
  <c r="ER21" i="4" s="1"/>
  <c r="EQ20" i="4"/>
  <c r="ER20" i="4" s="1"/>
  <c r="EQ22" i="4"/>
  <c r="ER22" i="4" s="1"/>
  <c r="EQ14" i="4"/>
  <c r="ER14" i="4" s="1"/>
  <c r="EQ9" i="4"/>
  <c r="ER9" i="4" s="1"/>
  <c r="EQ16" i="4"/>
  <c r="ER16" i="4" s="1"/>
  <c r="EQ18" i="4"/>
  <c r="ER18" i="4" s="1"/>
  <c r="EQ10" i="4"/>
  <c r="ER10" i="4" s="1"/>
  <c r="EQ17" i="4"/>
  <c r="ER17" i="4" s="1"/>
  <c r="ER11" i="4"/>
  <c r="ER23" i="4" l="1"/>
  <c r="ES16" i="4" s="1"/>
  <c r="EV16" i="4" s="1"/>
  <c r="ES15" i="4" l="1"/>
  <c r="EV15" i="4" s="1"/>
  <c r="ES14" i="4"/>
  <c r="EV14" i="4" s="1"/>
  <c r="ES22" i="4"/>
  <c r="EV22" i="4" s="1"/>
  <c r="ES13" i="4"/>
  <c r="EV13" i="4" s="1"/>
  <c r="ES18" i="4"/>
  <c r="EV18" i="4" s="1"/>
  <c r="ES19" i="4"/>
  <c r="EV19" i="4" s="1"/>
  <c r="ES17" i="4"/>
  <c r="EV17" i="4" s="1"/>
  <c r="ES10" i="4"/>
  <c r="EV10" i="4" s="1"/>
  <c r="ES21" i="4"/>
  <c r="EV21" i="4" s="1"/>
  <c r="ES9" i="4"/>
  <c r="ES20" i="4"/>
  <c r="EV20" i="4" s="1"/>
  <c r="ES12" i="4"/>
  <c r="EV12" i="4" s="1"/>
  <c r="ES11" i="4"/>
  <c r="EV11" i="4" s="1"/>
  <c r="EV9" i="4"/>
  <c r="ES23" i="4" l="1"/>
  <c r="ET23" i="4" s="1"/>
  <c r="EU23" i="4"/>
  <c r="EW13" i="4" s="1"/>
  <c r="EX13" i="4" l="1"/>
  <c r="EW14" i="4"/>
  <c r="EX14" i="4" s="1"/>
  <c r="EW15" i="4"/>
  <c r="EX15" i="4" s="1"/>
  <c r="EW21" i="4"/>
  <c r="EX21" i="4" s="1"/>
  <c r="EW19" i="4"/>
  <c r="EX19" i="4" s="1"/>
  <c r="EW11" i="4"/>
  <c r="EX11" i="4" s="1"/>
  <c r="EW12" i="4"/>
  <c r="EX12" i="4" s="1"/>
  <c r="EW9" i="4"/>
  <c r="EX9" i="4" s="1"/>
  <c r="EW18" i="4"/>
  <c r="EX18" i="4" s="1"/>
  <c r="EW10" i="4"/>
  <c r="EX10" i="4" s="1"/>
  <c r="EW20" i="4"/>
  <c r="EX20" i="4" s="1"/>
  <c r="EW22" i="4"/>
  <c r="EX22" i="4" s="1"/>
  <c r="EW17" i="4"/>
  <c r="EX17" i="4" s="1"/>
  <c r="EW16" i="4"/>
  <c r="EX16" i="4" s="1"/>
  <c r="EX23" i="4" l="1"/>
  <c r="EY21" i="4" s="1"/>
  <c r="FB21" i="4" s="1"/>
  <c r="EY14" i="4" l="1"/>
  <c r="FB14" i="4" s="1"/>
  <c r="EY12" i="4"/>
  <c r="FB12" i="4" s="1"/>
  <c r="EY22" i="4"/>
  <c r="FB22" i="4" s="1"/>
  <c r="EY15" i="4"/>
  <c r="FB15" i="4" s="1"/>
  <c r="EY16" i="4"/>
  <c r="FB16" i="4" s="1"/>
  <c r="EY18" i="4"/>
  <c r="FB18" i="4" s="1"/>
  <c r="EY19" i="4"/>
  <c r="FB19" i="4" s="1"/>
  <c r="EY11" i="4"/>
  <c r="FB11" i="4" s="1"/>
  <c r="EY17" i="4"/>
  <c r="FB17" i="4" s="1"/>
  <c r="EY9" i="4"/>
  <c r="EY13" i="4"/>
  <c r="FB13" i="4" s="1"/>
  <c r="EY10" i="4"/>
  <c r="FB10" i="4" s="1"/>
  <c r="EY20" i="4"/>
  <c r="FB20" i="4" s="1"/>
  <c r="FB9" i="4"/>
  <c r="EY23" i="4" l="1"/>
  <c r="EZ23" i="4" s="1"/>
  <c r="FA23" i="4"/>
  <c r="FC22" i="4" s="1"/>
  <c r="FD22" i="4" l="1"/>
  <c r="FC15" i="4"/>
  <c r="FD15" i="4" s="1"/>
  <c r="FC12" i="4"/>
  <c r="FD12" i="4" s="1"/>
  <c r="FC9" i="4"/>
  <c r="FD9" i="4" s="1"/>
  <c r="FC14" i="4"/>
  <c r="FD14" i="4" s="1"/>
  <c r="FC11" i="4"/>
  <c r="FD11" i="4" s="1"/>
  <c r="FC13" i="4"/>
  <c r="FD13" i="4" s="1"/>
  <c r="FC20" i="4"/>
  <c r="FD20" i="4" s="1"/>
  <c r="FC10" i="4"/>
  <c r="FD10" i="4" s="1"/>
  <c r="FC19" i="4"/>
  <c r="FD19" i="4" s="1"/>
  <c r="FC16" i="4"/>
  <c r="FD16" i="4" s="1"/>
  <c r="FC17" i="4"/>
  <c r="FD17" i="4" s="1"/>
  <c r="FC21" i="4"/>
  <c r="FD21" i="4" s="1"/>
  <c r="FC18" i="4"/>
  <c r="FD18" i="4" s="1"/>
  <c r="FD23" i="4" l="1"/>
  <c r="FE21" i="4" s="1"/>
  <c r="FH21" i="4" s="1"/>
  <c r="FE19" i="4" l="1"/>
  <c r="FH19" i="4" s="1"/>
  <c r="FE14" i="4"/>
  <c r="FH14" i="4" s="1"/>
  <c r="FE10" i="4"/>
  <c r="FH10" i="4" s="1"/>
  <c r="FE16" i="4"/>
  <c r="FH16" i="4" s="1"/>
  <c r="FE11" i="4"/>
  <c r="FH11" i="4" s="1"/>
  <c r="FE22" i="4"/>
  <c r="FH22" i="4" s="1"/>
  <c r="FE17" i="4"/>
  <c r="FH17" i="4" s="1"/>
  <c r="FE12" i="4"/>
  <c r="FH12" i="4" s="1"/>
  <c r="FE15" i="4"/>
  <c r="FH15" i="4" s="1"/>
  <c r="FE20" i="4"/>
  <c r="FH20" i="4" s="1"/>
  <c r="FE13" i="4"/>
  <c r="FH13" i="4" s="1"/>
  <c r="FE18" i="4"/>
  <c r="FH18" i="4" s="1"/>
  <c r="FE9" i="4"/>
  <c r="FH9" i="4" s="1"/>
  <c r="FG23" i="4" l="1"/>
  <c r="FI17" i="4" s="1"/>
  <c r="FE23" i="4"/>
  <c r="FF23" i="4" s="1"/>
  <c r="FJ17" i="4" l="1"/>
  <c r="FI18" i="4"/>
  <c r="FJ18" i="4" s="1"/>
  <c r="FI14" i="4"/>
  <c r="FJ14" i="4" s="1"/>
  <c r="FI12" i="4"/>
  <c r="FJ12" i="4" s="1"/>
  <c r="FI10" i="4"/>
  <c r="FJ10" i="4" s="1"/>
  <c r="FI21" i="4"/>
  <c r="FJ21" i="4" s="1"/>
  <c r="FI9" i="4"/>
  <c r="FJ9" i="4" s="1"/>
  <c r="FI11" i="4"/>
  <c r="FJ11" i="4" s="1"/>
  <c r="FI22" i="4"/>
  <c r="FJ22" i="4" s="1"/>
  <c r="FI15" i="4"/>
  <c r="FJ15" i="4" s="1"/>
  <c r="FI13" i="4"/>
  <c r="FJ13" i="4" s="1"/>
  <c r="FI16" i="4"/>
  <c r="FJ16" i="4" s="1"/>
  <c r="FI19" i="4"/>
  <c r="FJ19" i="4" s="1"/>
  <c r="FI20" i="4"/>
  <c r="FJ20" i="4" s="1"/>
  <c r="FJ23" i="4" l="1"/>
  <c r="FK20" i="4" s="1"/>
  <c r="FN20" i="4" s="1"/>
  <c r="FK19" i="4" l="1"/>
  <c r="FN19" i="4" s="1"/>
  <c r="FK14" i="4"/>
  <c r="FN14" i="4" s="1"/>
  <c r="FK12" i="4"/>
  <c r="FN12" i="4" s="1"/>
  <c r="FK15" i="4"/>
  <c r="FN15" i="4" s="1"/>
  <c r="FK17" i="4"/>
  <c r="FN17" i="4" s="1"/>
  <c r="FK22" i="4"/>
  <c r="FN22" i="4" s="1"/>
  <c r="FK18" i="4"/>
  <c r="FN18" i="4" s="1"/>
  <c r="FK13" i="4"/>
  <c r="FN13" i="4" s="1"/>
  <c r="FK9" i="4"/>
  <c r="FN9" i="4" s="1"/>
  <c r="FK16" i="4"/>
  <c r="FN16" i="4" s="1"/>
  <c r="FK11" i="4"/>
  <c r="FN11" i="4" s="1"/>
  <c r="FK21" i="4"/>
  <c r="FN21" i="4" s="1"/>
  <c r="FK10" i="4"/>
  <c r="FN10" i="4" s="1"/>
  <c r="FM23" i="4" l="1"/>
  <c r="FO11" i="4" s="1"/>
  <c r="FK23" i="4"/>
  <c r="FL23" i="4" s="1"/>
  <c r="FO19" i="4" l="1"/>
  <c r="FP19" i="4" s="1"/>
  <c r="FP11" i="4"/>
  <c r="FO15" i="4"/>
  <c r="FP15" i="4" s="1"/>
  <c r="FO13" i="4"/>
  <c r="FP13" i="4" s="1"/>
  <c r="FO16" i="4"/>
  <c r="FP16" i="4" s="1"/>
  <c r="FO12" i="4"/>
  <c r="FP12" i="4" s="1"/>
  <c r="FO14" i="4"/>
  <c r="FP14" i="4" s="1"/>
  <c r="FO20" i="4"/>
  <c r="FP20" i="4" s="1"/>
  <c r="FO9" i="4"/>
  <c r="FP9" i="4" s="1"/>
  <c r="FO18" i="4"/>
  <c r="FP18" i="4" s="1"/>
  <c r="FO10" i="4"/>
  <c r="FP10" i="4" s="1"/>
  <c r="FO22" i="4"/>
  <c r="FP22" i="4" s="1"/>
  <c r="FO17" i="4"/>
  <c r="FP17" i="4" s="1"/>
  <c r="FO21" i="4"/>
  <c r="FP21" i="4" s="1"/>
  <c r="FP23" i="4" l="1"/>
  <c r="FQ18" i="4" s="1"/>
  <c r="FT18" i="4" s="1"/>
  <c r="FQ22" i="4" l="1"/>
  <c r="FT22" i="4" s="1"/>
  <c r="FQ11" i="4"/>
  <c r="FT11" i="4" s="1"/>
  <c r="FQ13" i="4"/>
  <c r="FT13" i="4" s="1"/>
  <c r="FQ15" i="4"/>
  <c r="FT15" i="4" s="1"/>
  <c r="FQ12" i="4"/>
  <c r="FT12" i="4" s="1"/>
  <c r="FQ19" i="4"/>
  <c r="FT19" i="4" s="1"/>
  <c r="FQ9" i="4"/>
  <c r="FT9" i="4" s="1"/>
  <c r="FQ16" i="4"/>
  <c r="FT16" i="4" s="1"/>
  <c r="FQ21" i="4"/>
  <c r="FT21" i="4" s="1"/>
  <c r="FQ17" i="4"/>
  <c r="FT17" i="4" s="1"/>
  <c r="FQ20" i="4"/>
  <c r="FT20" i="4" s="1"/>
  <c r="FQ14" i="4"/>
  <c r="FT14" i="4" s="1"/>
  <c r="FQ10" i="4"/>
  <c r="FT10" i="4" s="1"/>
  <c r="FS23" i="4" l="1"/>
  <c r="FU17" i="4" s="1"/>
  <c r="FQ23" i="4"/>
  <c r="FR23" i="4" s="1"/>
  <c r="FV17" i="4" l="1"/>
  <c r="FU22" i="4"/>
  <c r="FV22" i="4" s="1"/>
  <c r="FU13" i="4"/>
  <c r="FV13" i="4" s="1"/>
  <c r="FU18" i="4"/>
  <c r="FV18" i="4" s="1"/>
  <c r="FU19" i="4"/>
  <c r="FV19" i="4" s="1"/>
  <c r="FU11" i="4"/>
  <c r="FV11" i="4" s="1"/>
  <c r="FU14" i="4"/>
  <c r="FV14" i="4" s="1"/>
  <c r="FU15" i="4"/>
  <c r="FV15" i="4" s="1"/>
  <c r="FU20" i="4"/>
  <c r="FV20" i="4" s="1"/>
  <c r="FU10" i="4"/>
  <c r="FV10" i="4" s="1"/>
  <c r="FU9" i="4"/>
  <c r="FV9" i="4" s="1"/>
  <c r="FU21" i="4"/>
  <c r="FV21" i="4" s="1"/>
  <c r="FU12" i="4"/>
  <c r="FV12" i="4" s="1"/>
  <c r="FU16" i="4"/>
  <c r="FV16" i="4" s="1"/>
  <c r="FV23" i="4" l="1"/>
  <c r="FW18" i="4" s="1"/>
  <c r="FZ18" i="4" s="1"/>
  <c r="FW19" i="4" l="1"/>
  <c r="FZ19" i="4" s="1"/>
  <c r="FW12" i="4"/>
  <c r="FZ12" i="4" s="1"/>
  <c r="FW16" i="4"/>
  <c r="FZ16" i="4" s="1"/>
  <c r="FW15" i="4"/>
  <c r="FZ15" i="4" s="1"/>
  <c r="FW14" i="4"/>
  <c r="FZ14" i="4" s="1"/>
  <c r="FW20" i="4"/>
  <c r="FZ20" i="4" s="1"/>
  <c r="FW11" i="4"/>
  <c r="FZ11" i="4" s="1"/>
  <c r="FW9" i="4"/>
  <c r="FZ9" i="4" s="1"/>
  <c r="FW21" i="4"/>
  <c r="FZ21" i="4" s="1"/>
  <c r="FW13" i="4"/>
  <c r="FZ13" i="4" s="1"/>
  <c r="FW22" i="4"/>
  <c r="FZ22" i="4" s="1"/>
  <c r="FW10" i="4"/>
  <c r="FZ10" i="4" s="1"/>
  <c r="FW17" i="4"/>
  <c r="FZ17" i="4" s="1"/>
  <c r="FY23" i="4" l="1"/>
  <c r="GA18" i="4" s="1"/>
  <c r="FW23" i="4"/>
  <c r="FX23" i="4" s="1"/>
  <c r="GB18" i="4" l="1"/>
  <c r="GA20" i="4"/>
  <c r="GB20" i="4" s="1"/>
  <c r="GA16" i="4"/>
  <c r="GA12" i="4"/>
  <c r="GB12" i="4" s="1"/>
  <c r="GA9" i="4"/>
  <c r="GB9" i="4" s="1"/>
  <c r="GA10" i="4"/>
  <c r="GB10" i="4" s="1"/>
  <c r="GA22" i="4"/>
  <c r="GB22" i="4" s="1"/>
  <c r="GA14" i="4"/>
  <c r="GB14" i="4" s="1"/>
  <c r="GA21" i="4"/>
  <c r="GB21" i="4" s="1"/>
  <c r="GA13" i="4"/>
  <c r="GB13" i="4" s="1"/>
  <c r="GA15" i="4"/>
  <c r="GB15" i="4" s="1"/>
  <c r="GA19" i="4"/>
  <c r="GB19" i="4" s="1"/>
  <c r="GA17" i="4"/>
  <c r="GB17" i="4" s="1"/>
  <c r="GA11" i="4"/>
  <c r="GB11" i="4" s="1"/>
  <c r="GB16" i="4"/>
  <c r="GB23" i="4" l="1"/>
  <c r="GC16" i="4" s="1"/>
  <c r="GF16" i="4" s="1"/>
  <c r="GC12" i="4" l="1"/>
  <c r="GF12" i="4" s="1"/>
  <c r="GC19" i="4"/>
  <c r="GF19" i="4" s="1"/>
  <c r="GC18" i="4"/>
  <c r="GF18" i="4" s="1"/>
  <c r="GC10" i="4"/>
  <c r="GF10" i="4" s="1"/>
  <c r="GC22" i="4"/>
  <c r="GF22" i="4" s="1"/>
  <c r="GC9" i="4"/>
  <c r="GF9" i="4" s="1"/>
  <c r="GC21" i="4"/>
  <c r="GF21" i="4" s="1"/>
  <c r="GC13" i="4"/>
  <c r="GF13" i="4" s="1"/>
  <c r="GC14" i="4"/>
  <c r="GF14" i="4" s="1"/>
  <c r="GC17" i="4"/>
  <c r="GF17" i="4" s="1"/>
  <c r="GC11" i="4"/>
  <c r="GF11" i="4" s="1"/>
  <c r="GC15" i="4"/>
  <c r="GF15" i="4" s="1"/>
  <c r="GC20" i="4"/>
  <c r="GF20" i="4" s="1"/>
  <c r="GE23" i="4" l="1"/>
  <c r="GG19" i="4" s="1"/>
  <c r="GC23" i="4"/>
  <c r="GD23" i="4" s="1"/>
  <c r="GH19" i="4" l="1"/>
  <c r="GG17" i="4"/>
  <c r="GH17" i="4" s="1"/>
  <c r="GG21" i="4"/>
  <c r="GH21" i="4" s="1"/>
  <c r="GG11" i="4"/>
  <c r="GH11" i="4" s="1"/>
  <c r="GG14" i="4"/>
  <c r="GH14" i="4" s="1"/>
  <c r="GG12" i="4"/>
  <c r="GH12" i="4" s="1"/>
  <c r="GG18" i="4"/>
  <c r="GH18" i="4" s="1"/>
  <c r="GG20" i="4"/>
  <c r="GH20" i="4" s="1"/>
  <c r="GG13" i="4"/>
  <c r="GH13" i="4" s="1"/>
  <c r="GG9" i="4"/>
  <c r="GH9" i="4" s="1"/>
  <c r="GG22" i="4"/>
  <c r="GH22" i="4" s="1"/>
  <c r="GG15" i="4"/>
  <c r="GH15" i="4" s="1"/>
  <c r="GG16" i="4"/>
  <c r="GH16" i="4" s="1"/>
  <c r="GG10" i="4"/>
  <c r="GH10" i="4" s="1"/>
  <c r="GH23" i="4" l="1"/>
  <c r="GI13" i="4" s="1"/>
  <c r="GJ13" i="4" s="1"/>
  <c r="GK13" i="4" s="1"/>
  <c r="GM13" i="4" s="1"/>
  <c r="GI12" i="4" l="1"/>
  <c r="GJ12" i="4" s="1"/>
  <c r="GK12" i="4" s="1"/>
  <c r="GM12" i="4" s="1"/>
  <c r="GI10" i="4"/>
  <c r="GJ10" i="4" s="1"/>
  <c r="GK10" i="4" s="1"/>
  <c r="GM10" i="4" s="1"/>
  <c r="GI11" i="4"/>
  <c r="GJ11" i="4" s="1"/>
  <c r="GK11" i="4" s="1"/>
  <c r="GM11" i="4" s="1"/>
  <c r="GI19" i="4"/>
  <c r="GJ19" i="4" s="1"/>
  <c r="GK19" i="4" s="1"/>
  <c r="GM19" i="4" s="1"/>
  <c r="GI21" i="4"/>
  <c r="GJ21" i="4" s="1"/>
  <c r="GK21" i="4" s="1"/>
  <c r="GM21" i="4" s="1"/>
  <c r="GI15" i="4"/>
  <c r="GJ15" i="4" s="1"/>
  <c r="GK15" i="4" s="1"/>
  <c r="GM15" i="4" s="1"/>
  <c r="GI9" i="4"/>
  <c r="GJ9" i="4" s="1"/>
  <c r="GI20" i="4"/>
  <c r="GJ20" i="4" s="1"/>
  <c r="GK20" i="4" s="1"/>
  <c r="GM20" i="4" s="1"/>
  <c r="GI16" i="4"/>
  <c r="GJ16" i="4" s="1"/>
  <c r="GK16" i="4" s="1"/>
  <c r="GM16" i="4" s="1"/>
  <c r="GI22" i="4"/>
  <c r="GJ22" i="4" s="1"/>
  <c r="GK22" i="4" s="1"/>
  <c r="GM22" i="4" s="1"/>
  <c r="GI18" i="4"/>
  <c r="GJ18" i="4" s="1"/>
  <c r="GK18" i="4" s="1"/>
  <c r="GM18" i="4" s="1"/>
  <c r="GI17" i="4"/>
  <c r="GJ17" i="4" s="1"/>
  <c r="GK17" i="4" s="1"/>
  <c r="GM17" i="4" s="1"/>
  <c r="GI14" i="4"/>
  <c r="GJ14" i="4" s="1"/>
  <c r="GK14" i="4" s="1"/>
  <c r="GM14" i="4" s="1"/>
  <c r="GL13" i="4"/>
  <c r="GL18" i="4" l="1"/>
  <c r="GL22" i="4"/>
  <c r="GL15" i="4"/>
  <c r="GL10" i="4"/>
  <c r="GL20" i="4"/>
  <c r="GL19" i="4"/>
  <c r="GL16" i="4"/>
  <c r="GL12" i="4"/>
  <c r="GL11" i="4"/>
  <c r="GL21" i="4"/>
  <c r="GL17" i="4"/>
  <c r="GI23" i="4"/>
  <c r="GL14" i="4"/>
  <c r="GJ23" i="4"/>
  <c r="GK23" i="4" s="1"/>
  <c r="GK9" i="4"/>
  <c r="GM9" i="4" s="1"/>
  <c r="GM23" i="4" l="1"/>
  <c r="GL9" i="4"/>
</calcChain>
</file>

<file path=xl/sharedStrings.xml><?xml version="1.0" encoding="utf-8"?>
<sst xmlns="http://schemas.openxmlformats.org/spreadsheetml/2006/main" count="4888" uniqueCount="213">
  <si>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</si>
  <si>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</si>
  <si>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</si>
  <si>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</si>
  <si>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</si>
  <si>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</si>
  <si>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</si>
  <si>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</si>
  <si>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</si>
  <si>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</si>
  <si>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</si>
  <si>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</si>
  <si>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</si>
  <si>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</si>
  <si>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</si>
  <si>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</si>
  <si>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</si>
  <si>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</si>
  <si>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</si>
  <si>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</si>
  <si>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</si>
  <si>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</si>
  <si>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</si>
  <si>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</si>
  <si>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</si>
  <si>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</si>
  <si>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</si>
  <si>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</si>
  <si>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</si>
  <si>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</si>
  <si>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</si>
  <si>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</si>
  <si>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</si>
  <si>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</si>
  <si>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</si>
  <si>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</si>
  <si>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</si>
  <si>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</si>
  <si>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</si>
  <si>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</si>
  <si>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</si>
  <si>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</si>
  <si>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</si>
  <si>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</si>
  <si>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</si>
  <si>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</si>
  <si>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</si>
  <si>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</si>
  <si>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</si>
  <si>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</si>
  <si>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</si>
  <si>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</si>
  <si>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</si>
  <si>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</si>
  <si>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</si>
  <si>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</si>
  <si>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</si>
  <si>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</si>
  <si>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</si>
  <si>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</si>
  <si>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</si>
  <si>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</si>
  <si>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</si>
  <si>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</si>
  <si>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</si>
  <si>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</si>
  <si>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</si>
  <si>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</si>
  <si>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</si>
  <si>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</si>
  <si>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</si>
  <si>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</si>
  <si>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</si>
  <si>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</si>
  <si>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</si>
  <si>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</si>
  <si>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</si>
  <si>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</si>
  <si>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</si>
  <si>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</si>
  <si>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</si>
  <si>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</si>
  <si>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</si>
  <si>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</si>
  <si>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</si>
  <si>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</si>
  <si>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</si>
  <si>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</si>
  <si>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</si>
  <si>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</si>
  <si>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</si>
  <si>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</si>
  <si>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</si>
  <si>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</si>
  <si>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</si>
  <si>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</si>
  <si>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</si>
  <si>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</si>
  <si>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</si>
  <si>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</si>
  <si>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</si>
  <si>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</si>
  <si>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</si>
  <si>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</si>
  <si>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</si>
  <si>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</si>
  <si>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</si>
  <si>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</si>
  <si>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</si>
  <si>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</si>
  <si>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</si>
  <si>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</si>
  <si>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</si>
  <si>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</si>
  <si>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</si>
  <si>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</si>
  <si>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</si>
  <si>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</si>
  <si>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</si>
  <si>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</si>
  <si>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</si>
  <si>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</si>
  <si>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</si>
  <si>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</si>
  <si>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</si>
  <si>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</si>
  <si>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</si>
  <si>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</si>
  <si>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</si>
  <si>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</si>
  <si>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</si>
  <si>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</si>
  <si>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</si>
  <si>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</si>
  <si>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</si>
  <si>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</si>
  <si>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</si>
  <si>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</si>
  <si>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</si>
  <si>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</si>
  <si>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</si>
  <si>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</si>
  <si>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</si>
  <si>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</si>
  <si>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</si>
  <si>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</si>
  <si>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</si>
  <si>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</si>
  <si>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</si>
  <si>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</si>
  <si>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</si>
  <si>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</si>
  <si>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</si>
  <si>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</si>
  <si>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</si>
  <si>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</si>
  <si>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</si>
  <si>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</si>
  <si>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</si>
  <si>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</si>
  <si>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</si>
  <si>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</si>
  <si>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</si>
  <si>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</si>
  <si>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</si>
  <si>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</si>
  <si>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</si>
  <si>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</si>
  <si>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</si>
  <si>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</si>
  <si>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</si>
  <si>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</si>
  <si>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</si>
  <si>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</si>
  <si>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Александровское</t>
  </si>
  <si>
    <t>Бакшеевское</t>
  </si>
  <si>
    <t>Белоярское</t>
  </si>
  <si>
    <t>Бородинское</t>
  </si>
  <si>
    <t>Екатерининское</t>
  </si>
  <si>
    <t>Ермиловское</t>
  </si>
  <si>
    <t>Журавлевское</t>
  </si>
  <si>
    <t>Иваново-Мысское</t>
  </si>
  <si>
    <t>Кипское</t>
  </si>
  <si>
    <t>Кузнецовское</t>
  </si>
  <si>
    <t>Петелинское</t>
  </si>
  <si>
    <t>Петровское</t>
  </si>
  <si>
    <t>Тевризское городское</t>
  </si>
  <si>
    <t>Утьминское</t>
  </si>
  <si>
    <t>км</t>
  </si>
  <si>
    <t>шт</t>
  </si>
  <si>
    <t>Протяженность труднопроходимых участков дорог в поселении на 01.01.2021 г.</t>
  </si>
  <si>
    <t>Поправочный коэффициент  труднопроходимых участков дорог в поселении на 01.01.2021 г.</t>
  </si>
  <si>
    <t>Фi</t>
  </si>
  <si>
    <t>Итоговый объем дотаций на текущий финансовый год</t>
  </si>
  <si>
    <t>Итоговый объем дотаций на плановый финансовый год</t>
  </si>
  <si>
    <t xml:space="preserve">Численность постоянного населения </t>
  </si>
  <si>
    <t>Численность постоянного населения на начало текущего года</t>
  </si>
  <si>
    <t>тыс.руб.</t>
  </si>
  <si>
    <t>2025 год</t>
  </si>
  <si>
    <t>Расчет размера дотации бюджетам поселений, входящих в состав Тевризского муниципального района Омской области, на выравнивание бюджетной обеспеченности на 2025 год</t>
  </si>
  <si>
    <t>Нпi</t>
  </si>
  <si>
    <t>Поправочный коэффициент наличия паромной переправы</t>
  </si>
  <si>
    <t>Поправочный коэффициент удаленности от районного центра до поселения</t>
  </si>
  <si>
    <r>
      <t>Ki = КУЦ</t>
    </r>
    <r>
      <rPr>
        <vertAlign val="subscript"/>
        <sz val="9"/>
        <rFont val="Times New Roman"/>
        <family val="1"/>
        <charset val="204"/>
      </rPr>
      <t xml:space="preserve">i </t>
    </r>
    <r>
      <rPr>
        <sz val="9"/>
        <rFont val="Times New Roman"/>
        <family val="1"/>
        <charset val="204"/>
      </rPr>
      <t>+</t>
    </r>
    <r>
      <rPr>
        <vertAlign val="subscript"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КНП</t>
    </r>
    <r>
      <rPr>
        <vertAlign val="subscript"/>
        <sz val="9"/>
        <rFont val="Times New Roman"/>
        <family val="1"/>
        <charset val="204"/>
      </rPr>
      <t xml:space="preserve">i </t>
    </r>
    <r>
      <rPr>
        <sz val="9"/>
        <rFont val="Times New Roman"/>
        <family val="1"/>
        <charset val="204"/>
      </rPr>
      <t>+ КРП</t>
    </r>
    <r>
      <rPr>
        <vertAlign val="subscript"/>
        <sz val="9"/>
        <rFont val="Times New Roman"/>
        <family val="1"/>
        <charset val="204"/>
      </rPr>
      <t>i</t>
    </r>
  </si>
  <si>
    <t>Расчет размера дотации бюджетам поселений, входящих в состав Тевризского муниципального района Омской области, на выравнивание бюджетной обеспеченности на 2026 год</t>
  </si>
  <si>
    <t>2026 год</t>
  </si>
  <si>
    <t>на 01.01.2024</t>
  </si>
  <si>
    <t>2027 год</t>
  </si>
  <si>
    <t>Удаленность от районного центра до поселения на 01.01.2024 г              УЦi</t>
  </si>
  <si>
    <t>Наличие паромной переправы на 01.01.2024 г.           Пi</t>
  </si>
  <si>
    <t>Объем расходных обязательств бюджетов поселений на содержание органов местного самоуправления за 2023 год                  РОi</t>
  </si>
  <si>
    <t>Расчет размера дотации бюджетам поселений, входящих в состав Тевризского муниципального района Омской области, на выравнивание бюджетной обеспеченности на 2027 год</t>
  </si>
  <si>
    <t>Поправочный коэффициент - содержание органов местного самоуправления в расчете на численность постоянного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</si>
</sst>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5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u/>
      <sz val="12"/>
      <color theme="10"/>
      <name val="Arial"/>
      <family val="2"/>
      <charset val="204"/>
    </font>
    <font>
      <sz val="10"/>
      <color rgb="FF000000"/>
      <name val="Arial"/>
      <family val="2"/>
      <charset val="204"/>
    </font>
    <font>
      <sz val="14"/>
      <color theme="1"/>
      <name val="Arial"/>
      <family val="2"/>
      <charset val="204"/>
    </font>
    <font>
      <sz val="9"/>
      <name val="Times New Roman"/>
      <family val="1"/>
      <charset val="204"/>
    </font>
    <font>
      <vertAlign val="subscript"/>
      <sz val="9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8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3" fillId="0" borderId="0"/>
    <xf numFmtId="0" fontId="46" fillId="0" borderId="0"/>
    <xf numFmtId="0" fontId="48" fillId="0" borderId="0">
      <protection locked="0"/>
    </xf>
    <xf numFmtId="0" fontId="48" fillId="0" borderId="0">
      <protection locked="0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0" fontId="46" fillId="0" borderId="0"/>
    <xf numFmtId="0" fontId="48" fillId="0" borderId="0">
      <protection locked="0"/>
    </xf>
    <xf numFmtId="0" fontId="44" fillId="0" borderId="0"/>
    <xf numFmtId="0" fontId="47" fillId="0" borderId="0" applyNumberFormat="0" applyFill="0" applyBorder="0" applyAlignment="0" applyProtection="0"/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49" fontId="45" fillId="51" borderId="0" applyNumberFormat="0" applyFont="0" applyFill="0" applyBorder="0" applyAlignment="0" applyProtection="0">
      <alignment horizontal="left" vertical="center" wrapText="1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</cellStyleXfs>
  <cellXfs count="30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6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6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2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5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49" xfId="0" applyFont="1" applyFill="1" applyBorder="1" applyAlignment="1">
      <alignment horizontal="center" vertical="center" textRotation="90" wrapText="1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2" xfId="0" applyFont="1" applyFill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0" fontId="39" fillId="42" borderId="35" xfId="0" applyFont="1" applyFill="1" applyBorder="1" applyAlignment="1">
      <alignment horizontal="center" vertical="center" wrapText="1"/>
    </xf>
    <xf numFmtId="0" fontId="39" fillId="42" borderId="56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9" xfId="0" applyFont="1" applyFill="1" applyBorder="1" applyAlignment="1">
      <alignment horizontal="center" vertical="center" wrapText="1"/>
    </xf>
    <xf numFmtId="3" fontId="33" fillId="0" borderId="50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64" fontId="39" fillId="43" borderId="33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horizontal="center" vertical="center" wrapText="1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8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5" xfId="0" applyFont="1" applyFill="1" applyBorder="1" applyAlignment="1">
      <alignment horizontal="center" vertical="center" wrapText="1"/>
    </xf>
    <xf numFmtId="0" fontId="32" fillId="26" borderId="50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0" fontId="18" fillId="39" borderId="52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165" fontId="30" fillId="48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6" xfId="0" applyFont="1" applyFill="1" applyBorder="1" applyAlignment="1">
      <alignment wrapText="1"/>
    </xf>
    <xf numFmtId="0" fontId="42" fillId="0" borderId="69" xfId="0" applyFont="1" applyFill="1" applyBorder="1" applyAlignment="1">
      <alignment wrapText="1"/>
    </xf>
    <xf numFmtId="167" fontId="30" fillId="0" borderId="73" xfId="0" applyNumberFormat="1" applyFont="1" applyFill="1" applyBorder="1" applyAlignment="1">
      <alignment horizontal="right" vertical="center"/>
    </xf>
    <xf numFmtId="0" fontId="21" fillId="25" borderId="64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3" fillId="0" borderId="71" xfId="0" applyFont="1" applyFill="1" applyBorder="1" applyAlignment="1">
      <alignment wrapText="1"/>
    </xf>
    <xf numFmtId="0" fontId="42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0" fontId="32" fillId="0" borderId="54" xfId="0" applyFont="1" applyBorder="1" applyAlignment="1">
      <alignment horizontal="center" vertical="center"/>
    </xf>
    <xf numFmtId="172" fontId="34" fillId="31" borderId="80" xfId="0" applyNumberFormat="1" applyFont="1" applyFill="1" applyBorder="1" applyAlignment="1">
      <alignment horizontal="center" vertical="center" wrapText="1"/>
    </xf>
    <xf numFmtId="0" fontId="35" fillId="0" borderId="81" xfId="0" applyFont="1" applyFill="1" applyBorder="1" applyAlignment="1">
      <alignment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7" xfId="0" applyNumberFormat="1" applyFont="1" applyBorder="1" applyAlignment="1">
      <alignment horizontal="center"/>
    </xf>
    <xf numFmtId="171" fontId="18" fillId="0" borderId="38" xfId="0" applyNumberFormat="1" applyFont="1" applyFill="1" applyBorder="1" applyAlignment="1">
      <alignment horizontal="center" vertical="center" wrapText="1"/>
    </xf>
    <xf numFmtId="0" fontId="35" fillId="0" borderId="82" xfId="0" applyFont="1" applyFill="1" applyBorder="1" applyAlignment="1">
      <alignment wrapText="1"/>
    </xf>
    <xf numFmtId="0" fontId="32" fillId="0" borderId="82" xfId="0" applyFont="1" applyBorder="1" applyAlignment="1">
      <alignment vertical="top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7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6" xfId="0" applyFont="1" applyFill="1" applyBorder="1" applyAlignment="1">
      <alignment horizontal="center" vertical="center"/>
    </xf>
    <xf numFmtId="170" fontId="18" fillId="39" borderId="75" xfId="0" applyNumberFormat="1" applyFont="1" applyFill="1" applyBorder="1" applyAlignment="1">
      <alignment vertical="center"/>
    </xf>
    <xf numFmtId="167" fontId="18" fillId="34" borderId="75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6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23" fillId="0" borderId="83" xfId="0" applyFont="1" applyFill="1" applyBorder="1" applyAlignment="1">
      <alignment wrapText="1"/>
    </xf>
    <xf numFmtId="0" fontId="42" fillId="0" borderId="82" xfId="0" applyFont="1" applyFill="1" applyBorder="1" applyAlignment="1">
      <alignment wrapText="1"/>
    </xf>
    <xf numFmtId="0" fontId="42" fillId="0" borderId="84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2" xfId="0" applyFont="1" applyFill="1" applyBorder="1" applyAlignment="1">
      <alignment horizontal="center" vertical="center"/>
    </xf>
    <xf numFmtId="0" fontId="18" fillId="27" borderId="75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7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7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7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21" fillId="49" borderId="50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7" xfId="0" applyNumberFormat="1" applyFont="1" applyFill="1" applyBorder="1" applyAlignment="1">
      <alignment vertical="center"/>
    </xf>
    <xf numFmtId="171" fontId="18" fillId="26" borderId="47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7" xfId="0" applyNumberFormat="1" applyFont="1" applyFill="1" applyBorder="1" applyAlignment="1">
      <alignment horizontal="right" vertical="center"/>
    </xf>
    <xf numFmtId="167" fontId="18" fillId="26" borderId="48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18" fillId="26" borderId="49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2" fontId="18" fillId="0" borderId="23" xfId="0" applyNumberFormat="1" applyFont="1" applyFill="1" applyBorder="1" applyAlignment="1">
      <alignment horizontal="right" vertical="center"/>
    </xf>
    <xf numFmtId="2" fontId="18" fillId="0" borderId="18" xfId="0" applyNumberFormat="1" applyFont="1" applyFill="1" applyBorder="1" applyAlignment="1">
      <alignment horizontal="right" vertical="center"/>
    </xf>
    <xf numFmtId="2" fontId="18" fillId="26" borderId="37" xfId="0" applyNumberFormat="1" applyFont="1" applyFill="1" applyBorder="1" applyAlignment="1">
      <alignment horizontal="right" vertical="center"/>
    </xf>
    <xf numFmtId="2" fontId="18" fillId="0" borderId="13" xfId="0" applyNumberFormat="1" applyFont="1" applyFill="1" applyBorder="1" applyAlignment="1">
      <alignment horizontal="right" vertical="center"/>
    </xf>
    <xf numFmtId="2" fontId="18" fillId="0" borderId="11" xfId="0" applyNumberFormat="1" applyFont="1" applyFill="1" applyBorder="1" applyAlignment="1">
      <alignment horizontal="right" vertical="center"/>
    </xf>
    <xf numFmtId="2" fontId="18" fillId="26" borderId="11" xfId="0" applyNumberFormat="1" applyFont="1" applyFill="1" applyBorder="1" applyAlignment="1">
      <alignment horizontal="right" vertical="center"/>
    </xf>
    <xf numFmtId="2" fontId="18" fillId="0" borderId="77" xfId="0" applyNumberFormat="1" applyFont="1" applyFill="1" applyBorder="1" applyAlignment="1">
      <alignment horizontal="right" vertical="center"/>
    </xf>
    <xf numFmtId="2" fontId="18" fillId="0" borderId="16" xfId="0" applyNumberFormat="1" applyFont="1" applyFill="1" applyBorder="1" applyAlignment="1">
      <alignment horizontal="right" vertical="center"/>
    </xf>
    <xf numFmtId="2" fontId="18" fillId="26" borderId="13" xfId="0" applyNumberFormat="1" applyFont="1" applyFill="1" applyBorder="1" applyAlignment="1">
      <alignment horizontal="right" vertical="center"/>
    </xf>
    <xf numFmtId="3" fontId="18" fillId="0" borderId="74" xfId="0" applyNumberFormat="1" applyFont="1" applyFill="1" applyBorder="1" applyAlignment="1">
      <alignment horizontal="right" vertical="center"/>
    </xf>
    <xf numFmtId="3" fontId="18" fillId="0" borderId="72" xfId="0" applyNumberFormat="1" applyFont="1" applyFill="1" applyBorder="1" applyAlignment="1">
      <alignment horizontal="right" vertical="center"/>
    </xf>
    <xf numFmtId="3" fontId="18" fillId="0" borderId="65" xfId="0" applyNumberFormat="1" applyFont="1" applyFill="1" applyBorder="1" applyAlignment="1">
      <alignment horizontal="right" vertical="center"/>
    </xf>
    <xf numFmtId="3" fontId="18" fillId="0" borderId="78" xfId="0" applyNumberFormat="1" applyFont="1" applyFill="1" applyBorder="1" applyAlignment="1">
      <alignment horizontal="right" vertical="center"/>
    </xf>
    <xf numFmtId="3" fontId="18" fillId="0" borderId="79" xfId="0" applyNumberFormat="1" applyFont="1" applyFill="1" applyBorder="1" applyAlignment="1">
      <alignment horizontal="right" vertical="center"/>
    </xf>
    <xf numFmtId="3" fontId="18" fillId="0" borderId="52" xfId="0" applyNumberFormat="1" applyFont="1" applyFill="1" applyBorder="1" applyAlignment="1">
      <alignment horizontal="right" vertical="center"/>
    </xf>
    <xf numFmtId="167" fontId="18" fillId="26" borderId="0" xfId="0" applyNumberFormat="1" applyFont="1" applyFill="1" applyAlignment="1">
      <alignment vertical="center"/>
    </xf>
    <xf numFmtId="2" fontId="18" fillId="0" borderId="19" xfId="0" applyNumberFormat="1" applyFont="1" applyFill="1" applyBorder="1" applyAlignment="1">
      <alignment vertical="center"/>
    </xf>
    <xf numFmtId="171" fontId="18" fillId="0" borderId="0" xfId="0" applyNumberFormat="1" applyFont="1" applyAlignment="1">
      <alignment vertical="top" wrapText="1"/>
    </xf>
    <xf numFmtId="2" fontId="18" fillId="26" borderId="0" xfId="0" applyNumberFormat="1" applyFont="1" applyFill="1" applyAlignment="1">
      <alignment vertical="center"/>
    </xf>
    <xf numFmtId="0" fontId="18" fillId="39" borderId="55" xfId="0" applyFont="1" applyFill="1" applyBorder="1" applyAlignment="1">
      <alignment horizontal="center" vertical="center" wrapText="1"/>
    </xf>
    <xf numFmtId="0" fontId="32" fillId="39" borderId="50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2" fontId="18" fillId="39" borderId="48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5" xfId="0" applyFont="1" applyFill="1" applyBorder="1" applyAlignment="1">
      <alignment horizontal="center" vertical="center"/>
    </xf>
    <xf numFmtId="0" fontId="32" fillId="50" borderId="11" xfId="0" applyFont="1" applyFill="1" applyBorder="1" applyAlignment="1">
      <alignment horizontal="center" vertical="center" wrapText="1"/>
    </xf>
    <xf numFmtId="2" fontId="22" fillId="50" borderId="11" xfId="0" applyNumberFormat="1" applyFont="1" applyFill="1" applyBorder="1" applyAlignment="1">
      <alignment horizontal="center" vertical="center"/>
    </xf>
    <xf numFmtId="4" fontId="18" fillId="50" borderId="11" xfId="0" applyNumberFormat="1" applyFont="1" applyFill="1" applyBorder="1" applyAlignment="1">
      <alignment vertical="center"/>
    </xf>
    <xf numFmtId="0" fontId="18" fillId="50" borderId="11" xfId="0" applyFont="1" applyFill="1" applyBorder="1" applyAlignment="1">
      <alignment horizontal="center" vertical="center" wrapText="1"/>
    </xf>
    <xf numFmtId="0" fontId="0" fillId="50" borderId="11" xfId="0" applyFill="1" applyBorder="1" applyAlignment="1">
      <alignment horizontal="center"/>
    </xf>
    <xf numFmtId="2" fontId="21" fillId="26" borderId="0" xfId="0" applyNumberFormat="1" applyFont="1" applyFill="1" applyAlignment="1">
      <alignment vertical="center"/>
    </xf>
    <xf numFmtId="0" fontId="33" fillId="32" borderId="24" xfId="0" applyFont="1" applyFill="1" applyBorder="1" applyAlignment="1">
      <alignment horizontal="center" vertical="center" wrapText="1"/>
    </xf>
    <xf numFmtId="1" fontId="18" fillId="0" borderId="52" xfId="0" applyNumberFormat="1" applyFont="1" applyFill="1" applyBorder="1" applyAlignment="1">
      <alignment horizontal="right"/>
    </xf>
    <xf numFmtId="1" fontId="18" fillId="0" borderId="86" xfId="62" applyNumberFormat="1" applyFont="1" applyFill="1" applyBorder="1" applyAlignment="1" applyProtection="1">
      <alignment horizontal="right"/>
      <protection locked="0"/>
    </xf>
    <xf numFmtId="1" fontId="18" fillId="0" borderId="87" xfId="62" applyNumberFormat="1" applyFont="1" applyFill="1" applyBorder="1" applyAlignment="1" applyProtection="1">
      <alignment horizontal="right"/>
      <protection locked="0"/>
    </xf>
    <xf numFmtId="1" fontId="18" fillId="0" borderId="12" xfId="0" applyNumberFormat="1" applyFont="1" applyFill="1" applyBorder="1" applyAlignment="1">
      <alignment horizontal="right"/>
    </xf>
    <xf numFmtId="0" fontId="50" fillId="32" borderId="53" xfId="0" applyFont="1" applyFill="1" applyBorder="1" applyAlignment="1">
      <alignment horizontal="center" vertical="center" wrapText="1"/>
    </xf>
    <xf numFmtId="4" fontId="0" fillId="50" borderId="11" xfId="0" applyNumberFormat="1" applyFill="1" applyBorder="1"/>
    <xf numFmtId="167" fontId="23" fillId="0" borderId="0" xfId="0" applyNumberFormat="1" applyFont="1" applyFill="1" applyBorder="1" applyAlignment="1">
      <alignment wrapText="1"/>
    </xf>
    <xf numFmtId="171" fontId="0" fillId="0" borderId="0" xfId="0" applyNumberFormat="1"/>
    <xf numFmtId="172" fontId="0" fillId="0" borderId="0" xfId="0" applyNumberFormat="1"/>
    <xf numFmtId="0" fontId="20" fillId="0" borderId="0" xfId="0" applyFont="1" applyFill="1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4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5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18" fillId="0" borderId="81" xfId="0" applyFont="1" applyFill="1" applyBorder="1" applyAlignment="1">
      <alignment horizontal="center" vertical="center" wrapText="1"/>
    </xf>
    <xf numFmtId="0" fontId="0" fillId="0" borderId="85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8" xfId="0" applyFont="1" applyFill="1" applyBorder="1" applyAlignment="1">
      <alignment horizontal="center" vertical="center" wrapText="1"/>
    </xf>
    <xf numFmtId="0" fontId="21" fillId="44" borderId="47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20" fillId="25" borderId="59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7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1" xfId="0" applyFont="1" applyFill="1" applyBorder="1" applyAlignment="1">
      <alignment horizontal="center" vertical="center" textRotation="90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3" xfId="0" applyFont="1" applyFill="1" applyBorder="1" applyAlignment="1">
      <alignment horizontal="center" vertical="center" wrapText="1"/>
    </xf>
    <xf numFmtId="0" fontId="18" fillId="50" borderId="16" xfId="0" applyFont="1" applyFill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25" borderId="62" xfId="0" applyFont="1" applyFill="1" applyBorder="1" applyAlignment="1">
      <alignment horizontal="left" vertical="center" wrapText="1"/>
    </xf>
    <xf numFmtId="0" fontId="21" fillId="25" borderId="47" xfId="0" applyFont="1" applyFill="1" applyBorder="1" applyAlignment="1">
      <alignment horizontal="left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0" fillId="50" borderId="11" xfId="0" applyFill="1" applyBorder="1" applyAlignment="1">
      <alignment vertical="center" wrapText="1"/>
    </xf>
  </cellXfs>
  <cellStyles count="8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" xfId="61"/>
    <cellStyle name="Note" xfId="37"/>
    <cellStyle name="Output" xfId="38"/>
    <cellStyle name="Title" xfId="39"/>
    <cellStyle name="Total" xfId="40"/>
    <cellStyle name="Warning Text" xfId="41"/>
    <cellStyle name="Гиперссылка 2" xfId="63"/>
    <cellStyle name="Данные (только для чтения)" xfId="42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16" xfId="59"/>
    <cellStyle name="Обычный 17" xfId="62"/>
    <cellStyle name="Обычный 18" xfId="65"/>
    <cellStyle name="Обычный 19" xfId="66"/>
    <cellStyle name="Обычный 2" xfId="43"/>
    <cellStyle name="Обычный 2 2" xfId="46"/>
    <cellStyle name="Обычный 20" xfId="67"/>
    <cellStyle name="Обычный 21" xfId="68"/>
    <cellStyle name="Обычный 22" xfId="84"/>
    <cellStyle name="Обычный 23" xfId="44"/>
    <cellStyle name="Обычный 3" xfId="47"/>
    <cellStyle name="Обычный 3 10" xfId="69"/>
    <cellStyle name="Обычный 3 11" xfId="70"/>
    <cellStyle name="Обычный 3 12" xfId="71"/>
    <cellStyle name="Обычный 3 13" xfId="72"/>
    <cellStyle name="Обычный 3 14" xfId="73"/>
    <cellStyle name="Обычный 3 15" xfId="74"/>
    <cellStyle name="Обычный 3 16" xfId="75"/>
    <cellStyle name="Обычный 3 17" xfId="76"/>
    <cellStyle name="Обычный 3 2" xfId="60"/>
    <cellStyle name="Обычный 3 3" xfId="77"/>
    <cellStyle name="Обычный 3 4" xfId="78"/>
    <cellStyle name="Обычный 3 5" xfId="79"/>
    <cellStyle name="Обычный 3 6" xfId="80"/>
    <cellStyle name="Обычный 3 7" xfId="81"/>
    <cellStyle name="Обычный 3 8" xfId="82"/>
    <cellStyle name="Обычный 3 9" xfId="83"/>
    <cellStyle name="Обычный 4" xfId="45"/>
    <cellStyle name="Обычный 4 2" xfId="64"/>
    <cellStyle name="Обычный 5" xfId="48"/>
    <cellStyle name="Обычный 6" xfId="49"/>
    <cellStyle name="Обычный 7" xfId="50"/>
    <cellStyle name="Обычный 8" xfId="51"/>
    <cellStyle name="Обычный 9" xfId="52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1730</xdr:colOff>
      <xdr:row>4</xdr:row>
      <xdr:rowOff>172912</xdr:rowOff>
    </xdr:from>
    <xdr:ext cx="1383723" cy="2276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911185" y="2839912"/>
              <a:ext cx="1383723" cy="2276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b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ru-RU" sz="900" i="1">
                          <a:latin typeface="Cambria Math"/>
                        </a:rPr>
                      </m:ctrlPr>
                    </m:sSubPr>
                    <m:e>
                      <m:r>
                        <a:rPr lang="ru-RU" sz="900" b="0" i="0">
                          <a:latin typeface="Cambria Math"/>
                        </a:rPr>
                        <m:t>КУЦ</m:t>
                      </m:r>
                    </m:e>
                    <m:sub>
                      <m:r>
                        <m:rPr>
                          <m:sty m:val="p"/>
                        </m:rPr>
                        <a:rPr lang="en-US" sz="900" b="0" i="0">
                          <a:latin typeface="Cambria Math"/>
                        </a:rPr>
                        <m:t>i</m:t>
                      </m:r>
                    </m:sub>
                  </m:sSub>
                  <m:r>
                    <a:rPr lang="en-US" sz="900" b="0" i="0">
                      <a:latin typeface="Cambria Math"/>
                    </a:rPr>
                    <m:t>=</m:t>
                  </m:r>
                  <m:sSub>
                    <m:sSubPr>
                      <m:ctrlPr>
                        <a:rPr lang="ru-RU" sz="900" i="1">
                          <a:latin typeface="Cambria Math"/>
                        </a:rPr>
                      </m:ctrlPr>
                    </m:sSubPr>
                    <m:e>
                      <m:r>
                        <a:rPr lang="ru-RU" sz="900" b="0" i="0">
                          <a:latin typeface="Cambria Math"/>
                        </a:rPr>
                        <m:t>УЦ</m:t>
                      </m:r>
                    </m:e>
                    <m:sub>
                      <m:r>
                        <m:rPr>
                          <m:sty m:val="p"/>
                        </m:rPr>
                        <a:rPr lang="en-US" sz="900" b="0" i="0">
                          <a:latin typeface="Cambria Math"/>
                        </a:rPr>
                        <m:t>i</m:t>
                      </m:r>
                    </m:sub>
                  </m:sSub>
                  <m:r>
                    <a:rPr lang="ru-RU" sz="900" b="0" i="0">
                      <a:latin typeface="Cambria Math"/>
                    </a:rPr>
                    <m:t>/</m:t>
                  </m:r>
                  <m:sSub>
                    <m:sSubPr>
                      <m:ctrlPr>
                        <a:rPr lang="ru-RU" sz="900" i="1">
                          <a:latin typeface="Cambria Math"/>
                        </a:rPr>
                      </m:ctrlPr>
                    </m:sSubPr>
                    <m:e>
                      <m:r>
                        <a:rPr lang="ru-RU" sz="900" b="0" i="0">
                          <a:latin typeface="Cambria Math"/>
                        </a:rPr>
                        <m:t>УЦ</m:t>
                      </m:r>
                    </m:e>
                    <m:sub>
                      <m:r>
                        <m:rPr>
                          <m:sty m:val="p"/>
                        </m:rPr>
                        <a:rPr lang="en-US" sz="900" b="0" i="0">
                          <a:latin typeface="Cambria Math"/>
                        </a:rPr>
                        <m:t>max</m:t>
                      </m:r>
                    </m:sub>
                  </m:sSub>
                </m:oMath>
              </a14:m>
              <a:r>
                <a:rPr lang="ru-RU" sz="900" i="0">
                  <a:latin typeface="Times New Roman" pitchFamily="18" charset="0"/>
                  <a:cs typeface="Times New Roman" pitchFamily="18" charset="0"/>
                </a:rPr>
                <a:t> +1</a:t>
              </a: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911185" y="2839912"/>
              <a:ext cx="1383723" cy="2276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b">
              <a:spAutoFit/>
            </a:bodyPr>
            <a:lstStyle/>
            <a:p>
              <a:pPr/>
              <a:r>
                <a:rPr lang="ru-RU" sz="900" i="0">
                  <a:latin typeface="Cambria Math"/>
                </a:rPr>
                <a:t>〖</a:t>
              </a:r>
              <a:r>
                <a:rPr lang="ru-RU" sz="900" b="0" i="0">
                  <a:latin typeface="Cambria Math"/>
                </a:rPr>
                <a:t>КУЦ〗_</a:t>
              </a:r>
              <a:r>
                <a:rPr lang="en-US" sz="900" b="0" i="0">
                  <a:latin typeface="Cambria Math"/>
                </a:rPr>
                <a:t>i=</a:t>
              </a:r>
              <a:r>
                <a:rPr lang="ru-RU" sz="900" i="0">
                  <a:latin typeface="Cambria Math"/>
                </a:rPr>
                <a:t>〖</a:t>
              </a:r>
              <a:r>
                <a:rPr lang="ru-RU" sz="900" b="0" i="0">
                  <a:latin typeface="Cambria Math"/>
                </a:rPr>
                <a:t>УЦ〗_</a:t>
              </a:r>
              <a:r>
                <a:rPr lang="en-US" sz="900" b="0" i="0">
                  <a:latin typeface="Cambria Math"/>
                </a:rPr>
                <a:t>i</a:t>
              </a:r>
              <a:r>
                <a:rPr lang="ru-RU" sz="900" b="0" i="0">
                  <a:latin typeface="Cambria Math"/>
                </a:rPr>
                <a:t>/</a:t>
              </a:r>
              <a:r>
                <a:rPr lang="ru-RU" sz="900" i="0">
                  <a:latin typeface="Cambria Math"/>
                </a:rPr>
                <a:t>〖</a:t>
              </a:r>
              <a:r>
                <a:rPr lang="ru-RU" sz="900" b="0" i="0">
                  <a:latin typeface="Cambria Math"/>
                </a:rPr>
                <a:t>УЦ〗_</a:t>
              </a:r>
              <a:r>
                <a:rPr lang="en-US" sz="900" b="0" i="0">
                  <a:latin typeface="Cambria Math"/>
                </a:rPr>
                <a:t>max</a:t>
              </a:r>
              <a:r>
                <a:rPr lang="ru-RU" sz="900" i="0">
                  <a:latin typeface="Times New Roman" pitchFamily="18" charset="0"/>
                  <a:cs typeface="Times New Roman" pitchFamily="18" charset="0"/>
                </a:rPr>
                <a:t> +1</a:t>
              </a:r>
            </a:p>
          </xdr:txBody>
        </xdr:sp>
      </mc:Fallback>
    </mc:AlternateContent>
    <xdr:clientData/>
  </xdr:oneCellAnchor>
  <xdr:oneCellAnchor>
    <xdr:from>
      <xdr:col>2</xdr:col>
      <xdr:colOff>1118753</xdr:colOff>
      <xdr:row>4</xdr:row>
      <xdr:rowOff>170584</xdr:rowOff>
    </xdr:from>
    <xdr:ext cx="1149927" cy="2332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4028208" y="2655743"/>
              <a:ext cx="1149927" cy="233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endParaRPr lang="ru-RU" sz="900" i="0">
                <a:latin typeface="Times New Roman" pitchFamily="18" charset="0"/>
                <a:cs typeface="Times New Roman" pitchFamily="18" charset="0"/>
              </a:endParaRPr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4028208" y="2655743"/>
              <a:ext cx="1149927" cy="233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900" b="0" i="0">
                  <a:latin typeface="Cambria Math"/>
                </a:rPr>
                <a:t>〖</a:t>
              </a:r>
              <a:r>
                <a:rPr lang="ru-RU" sz="900" b="0" i="0">
                  <a:latin typeface="Cambria Math"/>
                </a:rPr>
                <a:t>КТД</a:t>
              </a:r>
              <a:r>
                <a:rPr lang="en-US" sz="900" b="0" i="0">
                  <a:latin typeface="Cambria Math"/>
                </a:rPr>
                <a:t>〗_i=〖</a:t>
              </a:r>
              <a:r>
                <a:rPr lang="ru-RU" sz="900" b="0" i="0">
                  <a:latin typeface="Cambria Math"/>
                </a:rPr>
                <a:t>ТД</a:t>
              </a:r>
              <a:r>
                <a:rPr lang="en-US" sz="900" b="0" i="0">
                  <a:latin typeface="Cambria Math"/>
                </a:rPr>
                <a:t>〗i/〖</a:t>
              </a:r>
              <a:r>
                <a:rPr lang="ru-RU" sz="900" b="0" i="0">
                  <a:latin typeface="Cambria Math"/>
                </a:rPr>
                <a:t>ТД</a:t>
              </a:r>
              <a:r>
                <a:rPr lang="en-US" sz="900" b="0" i="0">
                  <a:latin typeface="Cambria Math"/>
                </a:rPr>
                <a:t>〗_max</a:t>
              </a:r>
              <a:endParaRPr lang="ru-RU" sz="900" i="0">
                <a:latin typeface="Times New Roman" pitchFamily="18" charset="0"/>
                <a:cs typeface="Times New Roman" pitchFamily="18" charset="0"/>
              </a:endParaRPr>
            </a:p>
          </xdr:txBody>
        </xdr:sp>
      </mc:Fallback>
    </mc:AlternateContent>
    <xdr:clientData/>
  </xdr:oneCellAnchor>
  <xdr:oneCellAnchor>
    <xdr:from>
      <xdr:col>4</xdr:col>
      <xdr:colOff>96982</xdr:colOff>
      <xdr:row>4</xdr:row>
      <xdr:rowOff>161925</xdr:rowOff>
    </xdr:from>
    <xdr:ext cx="914400" cy="2332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5257800" y="2647084"/>
              <a:ext cx="914400" cy="233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ru-RU" sz="900" i="1">
                            <a:latin typeface="Cambria Math"/>
                          </a:rPr>
                        </m:ctrlPr>
                      </m:sSubPr>
                      <m:e>
                        <m:r>
                          <a:rPr lang="ru-RU" sz="900" b="0" i="0">
                            <a:latin typeface="Cambria Math"/>
                          </a:rPr>
                          <m:t>КНП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900" b="0" i="0">
                            <a:latin typeface="Cambria Math"/>
                          </a:rPr>
                          <m:t>i</m:t>
                        </m:r>
                      </m:sub>
                    </m:sSub>
                    <m:r>
                      <a:rPr lang="en-US" sz="900" b="0" i="0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ru-RU" sz="900" i="1">
                            <a:latin typeface="Cambria Math"/>
                          </a:rPr>
                        </m:ctrlPr>
                      </m:sSubPr>
                      <m:e>
                        <m:r>
                          <a:rPr lang="ru-RU" sz="900" b="0" i="0">
                            <a:latin typeface="Cambria Math"/>
                          </a:rPr>
                          <m:t>П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900" b="0" i="0">
                            <a:latin typeface="Cambria Math"/>
                          </a:rPr>
                          <m:t>i</m:t>
                        </m:r>
                      </m:sub>
                    </m:sSub>
                    <m:r>
                      <a:rPr lang="en-US" sz="900" b="0" i="0">
                        <a:latin typeface="Cambria Math"/>
                      </a:rPr>
                      <m:t>/</m:t>
                    </m:r>
                    <m:r>
                      <a:rPr lang="ru-RU" sz="900" b="0" i="0">
                        <a:latin typeface="Cambria Math"/>
                      </a:rPr>
                      <m:t>П</m:t>
                    </m:r>
                  </m:oMath>
                </m:oMathPara>
              </a14:m>
              <a:endParaRPr lang="ru-RU" sz="900" i="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5257800" y="2647084"/>
              <a:ext cx="914400" cy="233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ru-RU" sz="900" i="0">
                  <a:latin typeface="Cambria Math"/>
                </a:rPr>
                <a:t>〖</a:t>
              </a:r>
              <a:r>
                <a:rPr lang="ru-RU" sz="900" b="0" i="0">
                  <a:latin typeface="Cambria Math"/>
                </a:rPr>
                <a:t>КНП〗_</a:t>
              </a:r>
              <a:r>
                <a:rPr lang="en-US" sz="900" b="0" i="0">
                  <a:latin typeface="Cambria Math"/>
                </a:rPr>
                <a:t>i=</a:t>
              </a:r>
              <a:r>
                <a:rPr lang="ru-RU" sz="900" b="0" i="0">
                  <a:latin typeface="Cambria Math"/>
                </a:rPr>
                <a:t>П_</a:t>
              </a:r>
              <a:r>
                <a:rPr lang="en-US" sz="900" b="0" i="0">
                  <a:latin typeface="Cambria Math"/>
                </a:rPr>
                <a:t>i/</a:t>
              </a:r>
              <a:r>
                <a:rPr lang="ru-RU" sz="900" b="0" i="0">
                  <a:latin typeface="Cambria Math"/>
                </a:rPr>
                <a:t>П</a:t>
              </a:r>
              <a:endParaRPr lang="ru-RU" sz="900" i="0"/>
            </a:p>
          </xdr:txBody>
        </xdr:sp>
      </mc:Fallback>
    </mc:AlternateContent>
    <xdr:clientData/>
  </xdr:oneCellAnchor>
  <xdr:oneCellAnchor>
    <xdr:from>
      <xdr:col>5</xdr:col>
      <xdr:colOff>10389</xdr:colOff>
      <xdr:row>4</xdr:row>
      <xdr:rowOff>153261</xdr:rowOff>
    </xdr:from>
    <xdr:ext cx="1262498" cy="36029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5647457" y="2820261"/>
              <a:ext cx="1262498" cy="36029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ru-RU" sz="900" i="1">
                          <a:latin typeface="Cambria Math"/>
                        </a:rPr>
                      </m:ctrlPr>
                    </m:sSubPr>
                    <m:e>
                      <m:r>
                        <a:rPr lang="ru-RU" sz="900" b="0" i="1">
                          <a:latin typeface="Cambria Math"/>
                        </a:rPr>
                        <m:t>КРП</m:t>
                      </m:r>
                    </m:e>
                    <m:sub>
                      <m:r>
                        <a:rPr lang="en-US" sz="900" b="0" i="1">
                          <a:latin typeface="Cambria Math"/>
                        </a:rPr>
                        <m:t>𝑖</m:t>
                      </m:r>
                    </m:sub>
                  </m:sSub>
                  <m:r>
                    <a:rPr lang="en-US" sz="900" b="0" i="1">
                      <a:latin typeface="Cambria Math"/>
                    </a:rPr>
                    <m:t>=(</m:t>
                  </m:r>
                  <m:sSub>
                    <m:sSubPr>
                      <m:ctrlPr>
                        <a:rPr lang="ru-RU" sz="900" i="1">
                          <a:latin typeface="Cambria Math"/>
                        </a:rPr>
                      </m:ctrlPr>
                    </m:sSubPr>
                    <m:e>
                      <m:r>
                        <a:rPr lang="ru-RU" sz="900" b="0" i="1">
                          <a:latin typeface="Cambria Math"/>
                        </a:rPr>
                        <m:t>РО</m:t>
                      </m:r>
                    </m:e>
                    <m:sub>
                      <m:r>
                        <a:rPr lang="en-US" sz="900" b="0" i="1">
                          <a:latin typeface="Cambria Math"/>
                        </a:rPr>
                        <m:t>𝑖</m:t>
                      </m:r>
                    </m:sub>
                  </m:sSub>
                  <m:r>
                    <a:rPr lang="en-US" sz="900" b="0" i="1">
                      <a:latin typeface="Cambria Math"/>
                    </a:rPr>
                    <m:t>/</m:t>
                  </m:r>
                  <m:sSub>
                    <m:sSubPr>
                      <m:ctrlPr>
                        <a:rPr lang="ru-RU" sz="900" i="1">
                          <a:latin typeface="Cambria Math"/>
                        </a:rPr>
                      </m:ctrlPr>
                    </m:sSubPr>
                    <m:e>
                      <m:r>
                        <a:rPr lang="ru-RU" sz="900" b="0" i="1">
                          <a:latin typeface="Cambria Math"/>
                        </a:rPr>
                        <m:t>Н</m:t>
                      </m:r>
                    </m:e>
                    <m:sub>
                      <m:r>
                        <a:rPr lang="en-US" sz="900" b="0" i="1">
                          <a:latin typeface="Cambria Math"/>
                        </a:rPr>
                        <m:t>𝑖</m:t>
                      </m:r>
                    </m:sub>
                  </m:sSub>
                </m:oMath>
              </a14:m>
              <a:r>
                <a:rPr lang="en-US" sz="900">
                  <a:latin typeface="Times New Roman" pitchFamily="18" charset="0"/>
                  <a:cs typeface="Times New Roman" pitchFamily="18" charset="0"/>
                </a:rPr>
                <a:t>)</a:t>
              </a:r>
              <a:r>
                <a:rPr lang="ru-RU" sz="900">
                  <a:latin typeface="Times New Roman" pitchFamily="18" charset="0"/>
                  <a:cs typeface="Times New Roman" pitchFamily="18" charset="0"/>
                </a:rPr>
                <a:t> </a:t>
              </a:r>
            </a:p>
            <a:p>
              <a:endParaRPr lang="ru-RU" sz="900">
                <a:latin typeface="Times New Roman" pitchFamily="18" charset="0"/>
                <a:cs typeface="Times New Roman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5647457" y="2820261"/>
              <a:ext cx="1262498" cy="36029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ru-RU" sz="900" i="0">
                  <a:latin typeface="Cambria Math"/>
                </a:rPr>
                <a:t>〖</a:t>
              </a:r>
              <a:r>
                <a:rPr lang="ru-RU" sz="900" b="0" i="0">
                  <a:latin typeface="Cambria Math"/>
                </a:rPr>
                <a:t>КРП〗_</a:t>
              </a:r>
              <a:r>
                <a:rPr lang="en-US" sz="900" b="0" i="0">
                  <a:latin typeface="Cambria Math"/>
                </a:rPr>
                <a:t>𝑖=(</a:t>
              </a:r>
              <a:r>
                <a:rPr lang="ru-RU" sz="900" i="0">
                  <a:latin typeface="Cambria Math"/>
                </a:rPr>
                <a:t>〖</a:t>
              </a:r>
              <a:r>
                <a:rPr lang="ru-RU" sz="900" b="0" i="0">
                  <a:latin typeface="Cambria Math"/>
                </a:rPr>
                <a:t>РО〗_</a:t>
              </a:r>
              <a:r>
                <a:rPr lang="en-US" sz="900" b="0" i="0">
                  <a:latin typeface="Cambria Math"/>
                </a:rPr>
                <a:t>𝑖/</a:t>
              </a:r>
              <a:r>
                <a:rPr lang="ru-RU" sz="900" b="0" i="0">
                  <a:latin typeface="Cambria Math"/>
                </a:rPr>
                <a:t>Н_</a:t>
              </a:r>
              <a:r>
                <a:rPr lang="en-US" sz="900" b="0" i="0">
                  <a:latin typeface="Cambria Math"/>
                </a:rPr>
                <a:t>𝑖</a:t>
              </a:r>
              <a:r>
                <a:rPr lang="en-US" sz="900">
                  <a:latin typeface="Times New Roman" pitchFamily="18" charset="0"/>
                  <a:cs typeface="Times New Roman" pitchFamily="18" charset="0"/>
                </a:rPr>
                <a:t>)</a:t>
              </a:r>
              <a:r>
                <a:rPr lang="ru-RU" sz="900">
                  <a:latin typeface="Times New Roman" pitchFamily="18" charset="0"/>
                  <a:cs typeface="Times New Roman" pitchFamily="18" charset="0"/>
                </a:rPr>
                <a:t> </a:t>
              </a:r>
            </a:p>
            <a:p>
              <a:endParaRPr lang="ru-RU" sz="900">
                <a:latin typeface="Times New Roman" pitchFamily="18" charset="0"/>
                <a:cs typeface="Times New Roman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1118752</xdr:colOff>
      <xdr:row>4</xdr:row>
      <xdr:rowOff>170584</xdr:rowOff>
    </xdr:from>
    <xdr:ext cx="1600201" cy="400916"/>
    <xdr:sp macro="" textlink="">
      <xdr:nvSpPr>
        <xdr:cNvPr id="7" name="TextBox 6"/>
        <xdr:cNvSpPr txBox="1"/>
      </xdr:nvSpPr>
      <xdr:spPr>
        <a:xfrm>
          <a:off x="4028207" y="2837584"/>
          <a:ext cx="1600201" cy="40091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endParaRPr lang="ru-RU" sz="900" i="0">
            <a:latin typeface="Times New Roman" pitchFamily="18" charset="0"/>
            <a:cs typeface="Times New Roman" pitchFamily="18" charset="0"/>
          </a:endParaRPr>
        </a:p>
        <a:p>
          <a:endParaRPr lang="ru-RU" sz="900" i="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25"/>
  <sheetViews>
    <sheetView view="pageBreakPreview" zoomScale="82" zoomScaleNormal="90" zoomScaleSheetLayoutView="82" workbookViewId="0">
      <selection activeCell="G15" sqref="G15"/>
    </sheetView>
  </sheetViews>
  <sheetFormatPr defaultRowHeight="15.75" x14ac:dyDescent="0.2"/>
  <cols>
    <col min="1" max="1" width="7.28515625" style="1" customWidth="1"/>
    <col min="2" max="2" width="30.7109375" style="1" customWidth="1"/>
    <col min="3" max="5" width="15.140625" style="2" customWidth="1"/>
    <col min="6" max="6" width="22.42578125" style="2" customWidth="1"/>
    <col min="7" max="7" width="19.42578125" style="3" customWidth="1"/>
    <col min="8" max="8" width="19.42578125" style="3" hidden="1" customWidth="1"/>
    <col min="9" max="9" width="19.42578125" style="3" customWidth="1"/>
    <col min="10" max="10" width="19.42578125" style="1" customWidth="1"/>
    <col min="11" max="236" width="9.140625" style="1"/>
  </cols>
  <sheetData>
    <row r="2" spans="1:10" s="4" customFormat="1" ht="27" customHeight="1" x14ac:dyDescent="0.2">
      <c r="A2" s="241" t="s">
        <v>73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0" s="4" customFormat="1" ht="16.5" x14ac:dyDescent="0.2">
      <c r="B3" s="235"/>
      <c r="C3" s="235"/>
      <c r="D3" s="235"/>
      <c r="E3" s="235"/>
      <c r="F3" s="235"/>
      <c r="G3" s="235"/>
      <c r="H3" s="235"/>
      <c r="I3" s="235"/>
    </row>
    <row r="4" spans="1:10" ht="16.5" thickBot="1" x14ac:dyDescent="0.25">
      <c r="B4" s="5"/>
      <c r="C4" s="6"/>
      <c r="D4" s="6"/>
      <c r="E4" s="6"/>
      <c r="F4" s="6"/>
    </row>
    <row r="5" spans="1:10" ht="20.25" customHeight="1" thickBot="1" x14ac:dyDescent="0.25">
      <c r="A5" s="246" t="s">
        <v>0</v>
      </c>
      <c r="B5" s="236" t="s">
        <v>7</v>
      </c>
      <c r="C5" s="239" t="s">
        <v>56</v>
      </c>
      <c r="D5" s="239"/>
      <c r="E5" s="239"/>
      <c r="F5" s="240"/>
      <c r="G5" s="240"/>
      <c r="H5" s="240"/>
      <c r="I5" s="240"/>
      <c r="J5" s="240"/>
    </row>
    <row r="6" spans="1:10" s="7" customFormat="1" ht="51.75" customHeight="1" x14ac:dyDescent="0.2">
      <c r="A6" s="247"/>
      <c r="B6" s="237"/>
      <c r="C6" s="93" t="s">
        <v>195</v>
      </c>
      <c r="D6" s="249" t="s">
        <v>62</v>
      </c>
      <c r="E6" s="250"/>
      <c r="F6" s="251"/>
      <c r="G6" s="242" t="s">
        <v>71</v>
      </c>
      <c r="H6" s="243"/>
      <c r="I6" s="243"/>
      <c r="J6" s="243"/>
    </row>
    <row r="7" spans="1:10" s="7" customFormat="1" ht="19.5" customHeight="1" thickBot="1" x14ac:dyDescent="0.25">
      <c r="A7" s="247"/>
      <c r="B7" s="237"/>
      <c r="C7" s="94" t="s">
        <v>206</v>
      </c>
      <c r="D7" s="96" t="s">
        <v>198</v>
      </c>
      <c r="E7" s="96" t="s">
        <v>205</v>
      </c>
      <c r="F7" s="96" t="s">
        <v>207</v>
      </c>
      <c r="G7" s="244"/>
      <c r="H7" s="245"/>
      <c r="I7" s="245"/>
      <c r="J7" s="245"/>
    </row>
    <row r="8" spans="1:10" s="7" customFormat="1" ht="179.25" customHeight="1" thickBot="1" x14ac:dyDescent="0.25">
      <c r="A8" s="247"/>
      <c r="B8" s="238"/>
      <c r="C8" s="95" t="s">
        <v>1</v>
      </c>
      <c r="D8" s="95" t="s">
        <v>2</v>
      </c>
      <c r="E8" s="95" t="s">
        <v>200</v>
      </c>
      <c r="F8" s="95" t="s">
        <v>2</v>
      </c>
      <c r="G8" s="97" t="s">
        <v>208</v>
      </c>
      <c r="H8" s="98" t="s">
        <v>190</v>
      </c>
      <c r="I8" s="98" t="s">
        <v>209</v>
      </c>
      <c r="J8" s="98" t="s">
        <v>210</v>
      </c>
    </row>
    <row r="9" spans="1:10" s="8" customFormat="1" thickBot="1" x14ac:dyDescent="0.25">
      <c r="A9" s="248"/>
      <c r="B9" s="58" t="s">
        <v>3</v>
      </c>
      <c r="C9" s="56" t="s">
        <v>5</v>
      </c>
      <c r="D9" s="56" t="s">
        <v>4</v>
      </c>
      <c r="E9" s="56" t="s">
        <v>4</v>
      </c>
      <c r="F9" s="56" t="s">
        <v>4</v>
      </c>
      <c r="G9" s="92" t="s">
        <v>188</v>
      </c>
      <c r="H9" s="92" t="s">
        <v>188</v>
      </c>
      <c r="I9" s="92" t="s">
        <v>189</v>
      </c>
      <c r="J9" s="92" t="s">
        <v>197</v>
      </c>
    </row>
    <row r="10" spans="1:10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56</v>
      </c>
      <c r="I10" s="38">
        <v>8</v>
      </c>
      <c r="J10" s="38">
        <v>9</v>
      </c>
    </row>
    <row r="11" spans="1:10" x14ac:dyDescent="0.25">
      <c r="A11" s="40">
        <v>1</v>
      </c>
      <c r="B11" s="135" t="s">
        <v>174</v>
      </c>
      <c r="C11" s="227">
        <v>72</v>
      </c>
      <c r="D11" s="203">
        <v>24510.596076469934</v>
      </c>
      <c r="E11" s="203">
        <v>25111.57492210174</v>
      </c>
      <c r="F11" s="203">
        <v>25684.963092390426</v>
      </c>
      <c r="G11" s="194">
        <v>56</v>
      </c>
      <c r="H11" s="195"/>
      <c r="I11" s="195">
        <v>1</v>
      </c>
      <c r="J11" s="196">
        <v>1488.548</v>
      </c>
    </row>
    <row r="12" spans="1:10" x14ac:dyDescent="0.25">
      <c r="A12" s="41">
        <v>2</v>
      </c>
      <c r="B12" s="123" t="s">
        <v>175</v>
      </c>
      <c r="C12" s="228">
        <v>817</v>
      </c>
      <c r="D12" s="204">
        <v>213654.74006230064</v>
      </c>
      <c r="E12" s="204">
        <v>219945.43157263048</v>
      </c>
      <c r="F12" s="204">
        <v>225958.53514673398</v>
      </c>
      <c r="G12" s="197">
        <v>40</v>
      </c>
      <c r="H12" s="198"/>
      <c r="I12" s="198">
        <v>0</v>
      </c>
      <c r="J12" s="199">
        <v>3276.4940000000001</v>
      </c>
    </row>
    <row r="13" spans="1:10" x14ac:dyDescent="0.25">
      <c r="A13" s="41">
        <v>3</v>
      </c>
      <c r="B13" s="123" t="s">
        <v>176</v>
      </c>
      <c r="C13" s="228">
        <v>546</v>
      </c>
      <c r="D13" s="204">
        <v>117814.13781763821</v>
      </c>
      <c r="E13" s="204">
        <v>120983.37553883546</v>
      </c>
      <c r="F13" s="204">
        <v>124007.11494559734</v>
      </c>
      <c r="G13" s="197">
        <v>8</v>
      </c>
      <c r="H13" s="198"/>
      <c r="I13" s="198">
        <v>1</v>
      </c>
      <c r="J13" s="199">
        <v>1796.896</v>
      </c>
    </row>
    <row r="14" spans="1:10" x14ac:dyDescent="0.25">
      <c r="A14" s="41">
        <v>4</v>
      </c>
      <c r="B14" s="123" t="s">
        <v>177</v>
      </c>
      <c r="C14" s="228">
        <v>219</v>
      </c>
      <c r="D14" s="204">
        <v>53129.352247721472</v>
      </c>
      <c r="E14" s="204">
        <v>55021.84076104113</v>
      </c>
      <c r="F14" s="204">
        <v>56827.445956351985</v>
      </c>
      <c r="G14" s="197">
        <v>62</v>
      </c>
      <c r="H14" s="198"/>
      <c r="I14" s="198">
        <v>1</v>
      </c>
      <c r="J14" s="199">
        <v>1822.8889999999999</v>
      </c>
    </row>
    <row r="15" spans="1:10" x14ac:dyDescent="0.25">
      <c r="A15" s="41">
        <v>5</v>
      </c>
      <c r="B15" s="123" t="s">
        <v>178</v>
      </c>
      <c r="C15" s="228">
        <v>200</v>
      </c>
      <c r="D15" s="204">
        <v>116804.97403222437</v>
      </c>
      <c r="E15" s="204">
        <v>119087.26844987286</v>
      </c>
      <c r="F15" s="204">
        <v>121264.78373132968</v>
      </c>
      <c r="G15" s="197">
        <v>20</v>
      </c>
      <c r="H15" s="198"/>
      <c r="I15" s="198">
        <v>1</v>
      </c>
      <c r="J15" s="199">
        <v>1836.8440000000001</v>
      </c>
    </row>
    <row r="16" spans="1:10" x14ac:dyDescent="0.25">
      <c r="A16" s="41">
        <v>6</v>
      </c>
      <c r="B16" s="123" t="s">
        <v>179</v>
      </c>
      <c r="C16" s="228">
        <v>77</v>
      </c>
      <c r="D16" s="204">
        <v>45662.004019078988</v>
      </c>
      <c r="E16" s="204">
        <v>47086.580121140796</v>
      </c>
      <c r="F16" s="204">
        <v>48524.259231766278</v>
      </c>
      <c r="G16" s="197">
        <v>44</v>
      </c>
      <c r="H16" s="198"/>
      <c r="I16" s="198">
        <v>1</v>
      </c>
      <c r="J16" s="199">
        <v>1734.4860000000001</v>
      </c>
    </row>
    <row r="17" spans="1:10" x14ac:dyDescent="0.25">
      <c r="A17" s="41">
        <v>7</v>
      </c>
      <c r="B17" s="123" t="s">
        <v>180</v>
      </c>
      <c r="C17" s="228">
        <v>165</v>
      </c>
      <c r="D17" s="204">
        <v>69530.79641148771</v>
      </c>
      <c r="E17" s="204">
        <v>70763.54349938684</v>
      </c>
      <c r="F17" s="204">
        <v>71962.125615439814</v>
      </c>
      <c r="G17" s="197">
        <v>26</v>
      </c>
      <c r="H17" s="198"/>
      <c r="I17" s="198">
        <v>1</v>
      </c>
      <c r="J17" s="199">
        <v>1400.461</v>
      </c>
    </row>
    <row r="18" spans="1:10" x14ac:dyDescent="0.25">
      <c r="A18" s="41">
        <v>8</v>
      </c>
      <c r="B18" s="124" t="s">
        <v>181</v>
      </c>
      <c r="C18" s="228">
        <v>541</v>
      </c>
      <c r="D18" s="205">
        <v>160364.03474361656</v>
      </c>
      <c r="E18" s="205">
        <v>164154.79285772485</v>
      </c>
      <c r="F18" s="205">
        <v>167771.51892862419</v>
      </c>
      <c r="G18" s="197">
        <v>50</v>
      </c>
      <c r="H18" s="198"/>
      <c r="I18" s="198">
        <v>0</v>
      </c>
      <c r="J18" s="199">
        <v>2370.5520000000001</v>
      </c>
    </row>
    <row r="19" spans="1:10" x14ac:dyDescent="0.25">
      <c r="A19" s="41">
        <v>9</v>
      </c>
      <c r="B19" s="124" t="s">
        <v>182</v>
      </c>
      <c r="C19" s="228">
        <v>489</v>
      </c>
      <c r="D19" s="206">
        <v>160041.00730873097</v>
      </c>
      <c r="E19" s="206">
        <v>163146.64195296526</v>
      </c>
      <c r="F19" s="206">
        <v>166109.69827214492</v>
      </c>
      <c r="G19" s="197">
        <v>34</v>
      </c>
      <c r="H19" s="198"/>
      <c r="I19" s="198">
        <v>0</v>
      </c>
      <c r="J19" s="199">
        <v>2515.779</v>
      </c>
    </row>
    <row r="20" spans="1:10" x14ac:dyDescent="0.25">
      <c r="A20" s="41">
        <v>10</v>
      </c>
      <c r="B20" s="124" t="s">
        <v>183</v>
      </c>
      <c r="C20" s="228">
        <v>87</v>
      </c>
      <c r="D20" s="207">
        <v>39982.810895710252</v>
      </c>
      <c r="E20" s="207">
        <v>40793.972075731945</v>
      </c>
      <c r="F20" s="207">
        <v>41567.893201579369</v>
      </c>
      <c r="G20" s="200">
        <v>20</v>
      </c>
      <c r="H20" s="201"/>
      <c r="I20" s="201">
        <v>1</v>
      </c>
      <c r="J20" s="199">
        <v>1258.4469999999999</v>
      </c>
    </row>
    <row r="21" spans="1:10" x14ac:dyDescent="0.25">
      <c r="A21" s="41">
        <v>11</v>
      </c>
      <c r="B21" s="136" t="s">
        <v>184</v>
      </c>
      <c r="C21" s="228">
        <v>527</v>
      </c>
      <c r="D21" s="208">
        <v>140387.02487046795</v>
      </c>
      <c r="E21" s="208">
        <v>143571.36205299973</v>
      </c>
      <c r="F21" s="208">
        <v>146665.58247780078</v>
      </c>
      <c r="G21" s="197">
        <v>19</v>
      </c>
      <c r="H21" s="198"/>
      <c r="I21" s="198">
        <v>0</v>
      </c>
      <c r="J21" s="199">
        <v>1862.7090000000001</v>
      </c>
    </row>
    <row r="22" spans="1:10" x14ac:dyDescent="0.25">
      <c r="A22" s="41">
        <v>12</v>
      </c>
      <c r="B22" s="136" t="s">
        <v>185</v>
      </c>
      <c r="C22" s="228">
        <v>722</v>
      </c>
      <c r="D22" s="208">
        <v>138368.54786259262</v>
      </c>
      <c r="E22" s="208">
        <v>142175.15846601149</v>
      </c>
      <c r="F22" s="208">
        <v>145863.08401174177</v>
      </c>
      <c r="G22" s="197">
        <v>17</v>
      </c>
      <c r="H22" s="198"/>
      <c r="I22" s="198">
        <v>0</v>
      </c>
      <c r="J22" s="199">
        <v>2392.4470000000001</v>
      </c>
    </row>
    <row r="23" spans="1:10" x14ac:dyDescent="0.25">
      <c r="A23" s="41">
        <v>13</v>
      </c>
      <c r="B23" s="136" t="s">
        <v>186</v>
      </c>
      <c r="C23" s="229">
        <v>6867</v>
      </c>
      <c r="D23" s="208">
        <v>13337622.121533662</v>
      </c>
      <c r="E23" s="208">
        <v>14028155.166550521</v>
      </c>
      <c r="F23" s="208">
        <v>14689883.338451348</v>
      </c>
      <c r="G23" s="197">
        <v>0</v>
      </c>
      <c r="H23" s="198"/>
      <c r="I23" s="198">
        <v>0</v>
      </c>
      <c r="J23" s="199">
        <v>11255.183000000001</v>
      </c>
    </row>
    <row r="24" spans="1:10" ht="16.5" thickBot="1" x14ac:dyDescent="0.3">
      <c r="A24" s="41">
        <v>14</v>
      </c>
      <c r="B24" s="137" t="s">
        <v>187</v>
      </c>
      <c r="C24" s="226">
        <v>629</v>
      </c>
      <c r="D24" s="208">
        <v>208198.63659437397</v>
      </c>
      <c r="E24" s="208">
        <v>212320.51166859936</v>
      </c>
      <c r="F24" s="208">
        <v>217060.62990064736</v>
      </c>
      <c r="G24" s="202">
        <v>39</v>
      </c>
      <c r="H24" s="199"/>
      <c r="I24" s="199">
        <v>0</v>
      </c>
      <c r="J24" s="199">
        <v>2521.116</v>
      </c>
    </row>
    <row r="25" spans="1:10" ht="16.5" thickBot="1" x14ac:dyDescent="0.25">
      <c r="A25" s="19"/>
      <c r="B25" s="20" t="s">
        <v>6</v>
      </c>
      <c r="C25" s="21">
        <f>SUM(C11:C24)</f>
        <v>11958</v>
      </c>
      <c r="D25" s="21">
        <f>SUM(D11:D24)</f>
        <v>14826070.784476075</v>
      </c>
      <c r="E25" s="21">
        <f>SUM(E11:E24)</f>
        <v>15552317.220489563</v>
      </c>
      <c r="F25" s="21">
        <f>SUM(F11:F24)</f>
        <v>16249150.972963495</v>
      </c>
      <c r="G25" s="22">
        <v>62</v>
      </c>
      <c r="H25" s="22"/>
      <c r="I25" s="22">
        <v>7</v>
      </c>
      <c r="J25" s="210">
        <f>SUM(J11:J24)</f>
        <v>37532.851000000002</v>
      </c>
    </row>
  </sheetData>
  <sheetProtection selectLockedCells="1" selectUnlockedCells="1"/>
  <mergeCells count="7">
    <mergeCell ref="B3:I3"/>
    <mergeCell ref="B5:B8"/>
    <mergeCell ref="C5:J5"/>
    <mergeCell ref="A2:J2"/>
    <mergeCell ref="G6:J7"/>
    <mergeCell ref="A5:A9"/>
    <mergeCell ref="D6:F6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110" zoomScaleNormal="110" workbookViewId="0">
      <selection activeCell="F20" sqref="F20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21.42578125" style="9" customWidth="1"/>
    <col min="4" max="4" width="16.85546875" style="9" hidden="1" customWidth="1"/>
    <col min="5" max="5" width="24" style="9" customWidth="1"/>
    <col min="6" max="6" width="16.85546875" style="9" customWidth="1"/>
    <col min="7" max="7" width="18.28515625" style="9" customWidth="1"/>
    <col min="8" max="8" width="13.42578125" style="9" bestFit="1" customWidth="1"/>
    <col min="9" max="9" width="9.140625" style="9"/>
    <col min="10" max="10" width="12.140625" style="9" customWidth="1"/>
    <col min="11" max="16384" width="9.140625" style="9"/>
  </cols>
  <sheetData>
    <row r="1" spans="1:9" x14ac:dyDescent="0.2">
      <c r="C1" s="10"/>
      <c r="D1" s="10"/>
      <c r="E1" s="10"/>
      <c r="F1" s="10"/>
    </row>
    <row r="2" spans="1:9" s="11" customFormat="1" ht="18.75" x14ac:dyDescent="0.2">
      <c r="A2" s="252" t="s">
        <v>63</v>
      </c>
      <c r="B2" s="252"/>
      <c r="C2" s="252"/>
      <c r="D2" s="252"/>
      <c r="E2" s="252"/>
      <c r="F2" s="252"/>
      <c r="G2" s="252"/>
    </row>
    <row r="3" spans="1:9" ht="16.5" thickBot="1" x14ac:dyDescent="0.25">
      <c r="B3" s="12"/>
    </row>
    <row r="4" spans="1:9" s="7" customFormat="1" ht="162.75" customHeight="1" thickBot="1" x14ac:dyDescent="0.25">
      <c r="A4" s="253" t="s">
        <v>0</v>
      </c>
      <c r="B4" s="253" t="s">
        <v>61</v>
      </c>
      <c r="C4" s="86" t="s">
        <v>202</v>
      </c>
      <c r="D4" s="86" t="s">
        <v>191</v>
      </c>
      <c r="E4" s="86" t="s">
        <v>201</v>
      </c>
      <c r="F4" s="88" t="s">
        <v>212</v>
      </c>
      <c r="G4" s="225" t="s">
        <v>64</v>
      </c>
    </row>
    <row r="5" spans="1:9" s="13" customFormat="1" ht="45.75" customHeight="1" thickBot="1" x14ac:dyDescent="0.25">
      <c r="A5" s="254"/>
      <c r="B5" s="254"/>
      <c r="C5" s="87"/>
      <c r="D5" s="87"/>
      <c r="E5" s="87"/>
      <c r="F5" s="89"/>
      <c r="G5" s="230" t="s">
        <v>203</v>
      </c>
    </row>
    <row r="6" spans="1:9" s="14" customFormat="1" thickBot="1" x14ac:dyDescent="0.25">
      <c r="A6" s="42">
        <v>1</v>
      </c>
      <c r="B6" s="43">
        <f t="shared" ref="B6:D6" si="0">A6+1</f>
        <v>2</v>
      </c>
      <c r="C6" s="43">
        <f t="shared" si="0"/>
        <v>3</v>
      </c>
      <c r="D6" s="43">
        <f t="shared" si="0"/>
        <v>4</v>
      </c>
      <c r="E6" s="43">
        <v>4</v>
      </c>
      <c r="F6" s="90">
        <v>5</v>
      </c>
      <c r="G6" s="91">
        <f>F6+1</f>
        <v>6</v>
      </c>
    </row>
    <row r="7" spans="1:9" ht="16.5" thickBot="1" x14ac:dyDescent="0.3">
      <c r="A7" s="138">
        <v>1</v>
      </c>
      <c r="B7" s="140" t="s">
        <v>174</v>
      </c>
      <c r="C7" s="141">
        <f>'Исходные данные'!G11/'Исходные данные'!G25+1</f>
        <v>1.903225806451613</v>
      </c>
      <c r="D7" s="141"/>
      <c r="E7" s="142">
        <f>'Исходные данные'!I11/'Исходные данные'!I25</f>
        <v>0.14285714285714285</v>
      </c>
      <c r="F7" s="143">
        <f>'Исходные данные'!J11/'Исходные данные'!C11</f>
        <v>20.674277777777778</v>
      </c>
      <c r="G7" s="139">
        <f>SUM(C7:F7)</f>
        <v>22.720360727086533</v>
      </c>
      <c r="H7" s="18"/>
      <c r="I7" s="211"/>
    </row>
    <row r="8" spans="1:9" s="15" customFormat="1" ht="16.5" thickBot="1" x14ac:dyDescent="0.3">
      <c r="A8" s="84">
        <v>2</v>
      </c>
      <c r="B8" s="144" t="s">
        <v>175</v>
      </c>
      <c r="C8" s="141">
        <f>'Исходные данные'!G12/'Исходные данные'!G25+1</f>
        <v>1.6451612903225805</v>
      </c>
      <c r="D8" s="141"/>
      <c r="E8" s="142">
        <f>'Исходные данные'!I12/'Исходные данные'!I25</f>
        <v>0</v>
      </c>
      <c r="F8" s="143">
        <f>'Исходные данные'!J12/'Исходные данные'!C12</f>
        <v>4.0103965728274176</v>
      </c>
      <c r="G8" s="139">
        <f t="shared" ref="G8:G20" si="1">SUM(C8:F8)</f>
        <v>5.6555578631499976</v>
      </c>
      <c r="H8" s="18"/>
      <c r="I8" s="211"/>
    </row>
    <row r="9" spans="1:9" s="15" customFormat="1" ht="16.5" thickBot="1" x14ac:dyDescent="0.3">
      <c r="A9" s="85">
        <v>3</v>
      </c>
      <c r="B9" s="144" t="s">
        <v>176</v>
      </c>
      <c r="C9" s="141">
        <f>'Исходные данные'!G13/'Исходные данные'!G25+1</f>
        <v>1.129032258064516</v>
      </c>
      <c r="D9" s="141"/>
      <c r="E9" s="142">
        <f>'Исходные данные'!I13/'Исходные данные'!I25</f>
        <v>0.14285714285714285</v>
      </c>
      <c r="F9" s="143">
        <f>'Исходные данные'!J13/'Исходные данные'!C13</f>
        <v>3.2910183150183148</v>
      </c>
      <c r="G9" s="139">
        <f t="shared" si="1"/>
        <v>4.5629077159399731</v>
      </c>
      <c r="H9" s="18"/>
      <c r="I9" s="211"/>
    </row>
    <row r="10" spans="1:9" s="15" customFormat="1" ht="16.5" thickBot="1" x14ac:dyDescent="0.3">
      <c r="A10" s="84">
        <v>4</v>
      </c>
      <c r="B10" s="144" t="s">
        <v>177</v>
      </c>
      <c r="C10" s="141">
        <f>'Исходные данные'!G14/'Исходные данные'!G25+1</f>
        <v>2</v>
      </c>
      <c r="D10" s="141"/>
      <c r="E10" s="142">
        <f>'Исходные данные'!I14/'Исходные данные'!I25</f>
        <v>0.14285714285714285</v>
      </c>
      <c r="F10" s="143">
        <f>'Исходные данные'!J14/'Исходные данные'!C14</f>
        <v>8.3236940639269399</v>
      </c>
      <c r="G10" s="139">
        <f t="shared" si="1"/>
        <v>10.466551206784082</v>
      </c>
      <c r="H10" s="18"/>
      <c r="I10" s="211"/>
    </row>
    <row r="11" spans="1:9" s="15" customFormat="1" ht="16.5" thickBot="1" x14ac:dyDescent="0.3">
      <c r="A11" s="85">
        <v>5</v>
      </c>
      <c r="B11" s="144" t="s">
        <v>178</v>
      </c>
      <c r="C11" s="141">
        <f>'Исходные данные'!G15/'Исходные данные'!G25+1</f>
        <v>1.3225806451612903</v>
      </c>
      <c r="D11" s="141"/>
      <c r="E11" s="142">
        <f>'Исходные данные'!I15/'Исходные данные'!I25</f>
        <v>0.14285714285714285</v>
      </c>
      <c r="F11" s="143">
        <f>'Исходные данные'!J15/'Исходные данные'!C15</f>
        <v>9.1842199999999998</v>
      </c>
      <c r="G11" s="139">
        <f t="shared" si="1"/>
        <v>10.649657788018432</v>
      </c>
      <c r="H11" s="18"/>
      <c r="I11" s="211"/>
    </row>
    <row r="12" spans="1:9" s="15" customFormat="1" ht="16.5" thickBot="1" x14ac:dyDescent="0.3">
      <c r="A12" s="84">
        <v>6</v>
      </c>
      <c r="B12" s="144" t="s">
        <v>179</v>
      </c>
      <c r="C12" s="141">
        <f>'Исходные данные'!G16/'Исходные данные'!G25+1</f>
        <v>1.7096774193548387</v>
      </c>
      <c r="D12" s="141"/>
      <c r="E12" s="142">
        <f>'Исходные данные'!I16/'Исходные данные'!I25</f>
        <v>0.14285714285714285</v>
      </c>
      <c r="F12" s="143">
        <f>'Исходные данные'!J16/'Исходные данные'!C16</f>
        <v>22.525792207792207</v>
      </c>
      <c r="G12" s="139">
        <f t="shared" si="1"/>
        <v>24.37832677000419</v>
      </c>
      <c r="H12" s="18"/>
      <c r="I12" s="211"/>
    </row>
    <row r="13" spans="1:9" s="15" customFormat="1" ht="16.5" thickBot="1" x14ac:dyDescent="0.3">
      <c r="A13" s="85">
        <v>7</v>
      </c>
      <c r="B13" s="144" t="s">
        <v>180</v>
      </c>
      <c r="C13" s="141">
        <f>'Исходные данные'!G17/'Исходные данные'!G25+1</f>
        <v>1.4193548387096775</v>
      </c>
      <c r="D13" s="141"/>
      <c r="E13" s="142">
        <f>'Исходные данные'!I17/'Исходные данные'!I25</f>
        <v>0.14285714285714285</v>
      </c>
      <c r="F13" s="143">
        <f>'Исходные данные'!J17/'Исходные данные'!C17</f>
        <v>8.4876424242424235</v>
      </c>
      <c r="G13" s="139">
        <f t="shared" si="1"/>
        <v>10.049854405809244</v>
      </c>
      <c r="H13" s="18"/>
      <c r="I13" s="211"/>
    </row>
    <row r="14" spans="1:9" s="15" customFormat="1" ht="16.5" thickBot="1" x14ac:dyDescent="0.3">
      <c r="A14" s="84">
        <v>8</v>
      </c>
      <c r="B14" s="144" t="s">
        <v>181</v>
      </c>
      <c r="C14" s="141">
        <f>'Исходные данные'!G18/'Исходные данные'!G25+1</f>
        <v>1.8064516129032258</v>
      </c>
      <c r="D14" s="141"/>
      <c r="E14" s="142">
        <f>'Исходные данные'!I18/'Исходные данные'!I25</f>
        <v>0</v>
      </c>
      <c r="F14" s="143">
        <f>'Исходные данные'!J18/'Исходные данные'!C18</f>
        <v>4.3817966728280959</v>
      </c>
      <c r="G14" s="139">
        <f t="shared" si="1"/>
        <v>6.1882482857313219</v>
      </c>
      <c r="H14" s="18"/>
      <c r="I14" s="211"/>
    </row>
    <row r="15" spans="1:9" s="15" customFormat="1" ht="16.5" thickBot="1" x14ac:dyDescent="0.3">
      <c r="A15" s="85">
        <v>9</v>
      </c>
      <c r="B15" s="144" t="s">
        <v>182</v>
      </c>
      <c r="C15" s="141">
        <f>'Исходные данные'!G19/'Исходные данные'!G25+1</f>
        <v>1.5483870967741935</v>
      </c>
      <c r="D15" s="141"/>
      <c r="E15" s="142">
        <f>'Исходные данные'!I19/'Исходные данные'!I25</f>
        <v>0</v>
      </c>
      <c r="F15" s="143">
        <f>'Исходные данные'!J19/'Исходные данные'!C19</f>
        <v>5.1447423312883434</v>
      </c>
      <c r="G15" s="139">
        <f t="shared" si="1"/>
        <v>6.6931294280625373</v>
      </c>
      <c r="H15" s="18"/>
      <c r="I15" s="211"/>
    </row>
    <row r="16" spans="1:9" s="15" customFormat="1" ht="16.5" thickBot="1" x14ac:dyDescent="0.3">
      <c r="A16" s="84">
        <v>10</v>
      </c>
      <c r="B16" s="144" t="s">
        <v>183</v>
      </c>
      <c r="C16" s="141">
        <f>'Исходные данные'!G20/'Исходные данные'!G25+1</f>
        <v>1.3225806451612903</v>
      </c>
      <c r="D16" s="141"/>
      <c r="E16" s="142">
        <f>'Исходные данные'!I20/'Исходные данные'!I25</f>
        <v>0.14285714285714285</v>
      </c>
      <c r="F16" s="143">
        <f>'Исходные данные'!J20/'Исходные данные'!C20</f>
        <v>14.46490804597701</v>
      </c>
      <c r="G16" s="139">
        <f t="shared" si="1"/>
        <v>15.930345833995442</v>
      </c>
      <c r="H16" s="18"/>
      <c r="I16" s="211"/>
    </row>
    <row r="17" spans="1:9" s="15" customFormat="1" ht="16.5" thickBot="1" x14ac:dyDescent="0.3">
      <c r="A17" s="85">
        <v>11</v>
      </c>
      <c r="B17" s="144" t="s">
        <v>184</v>
      </c>
      <c r="C17" s="141">
        <f>'Исходные данные'!G21/'Исходные данные'!G25+1</f>
        <v>1.3064516129032258</v>
      </c>
      <c r="D17" s="141"/>
      <c r="E17" s="142">
        <f>'Исходные данные'!I21/'Исходные данные'!I25</f>
        <v>0</v>
      </c>
      <c r="F17" s="143">
        <f>'Исходные данные'!J21/'Исходные данные'!C21</f>
        <v>3.5345521821631878</v>
      </c>
      <c r="G17" s="139">
        <f t="shared" si="1"/>
        <v>4.8410037950664133</v>
      </c>
      <c r="H17" s="18"/>
      <c r="I17" s="211"/>
    </row>
    <row r="18" spans="1:9" ht="16.5" thickBot="1" x14ac:dyDescent="0.3">
      <c r="A18" s="84">
        <v>12</v>
      </c>
      <c r="B18" s="144" t="s">
        <v>185</v>
      </c>
      <c r="C18" s="141">
        <f>'Исходные данные'!G22/'Исходные данные'!G25+1</f>
        <v>1.2741935483870968</v>
      </c>
      <c r="D18" s="141"/>
      <c r="E18" s="142">
        <f>'Исходные данные'!I22/'Исходные данные'!I25</f>
        <v>0</v>
      </c>
      <c r="F18" s="143">
        <f>'Исходные данные'!J22/'Исходные данные'!C22</f>
        <v>3.3136385041551248</v>
      </c>
      <c r="G18" s="139">
        <f t="shared" si="1"/>
        <v>4.5878320525422218</v>
      </c>
      <c r="H18" s="18"/>
      <c r="I18" s="211"/>
    </row>
    <row r="19" spans="1:9" ht="16.5" thickBot="1" x14ac:dyDescent="0.3">
      <c r="A19" s="85">
        <v>13</v>
      </c>
      <c r="B19" s="145" t="s">
        <v>186</v>
      </c>
      <c r="C19" s="141">
        <f>'Исходные данные'!G23/'Исходные данные'!G25+1</f>
        <v>1</v>
      </c>
      <c r="D19" s="141"/>
      <c r="E19" s="142">
        <f>'Исходные данные'!I23/'Исходные данные'!I25</f>
        <v>0</v>
      </c>
      <c r="F19" s="143">
        <f>'Исходные данные'!J23/'Исходные данные'!C23</f>
        <v>1.6390247560798021</v>
      </c>
      <c r="G19" s="139">
        <f t="shared" si="1"/>
        <v>2.6390247560798024</v>
      </c>
      <c r="H19" s="18"/>
      <c r="I19" s="211"/>
    </row>
    <row r="20" spans="1:9" x14ac:dyDescent="0.25">
      <c r="A20" s="84">
        <v>14</v>
      </c>
      <c r="B20" s="145" t="s">
        <v>187</v>
      </c>
      <c r="C20" s="141">
        <f>'Исходные данные'!G24/'Исходные данные'!G25+1</f>
        <v>1.629032258064516</v>
      </c>
      <c r="D20" s="141"/>
      <c r="E20" s="142">
        <f>'Исходные данные'!I24/'Исходные данные'!I25</f>
        <v>0</v>
      </c>
      <c r="F20" s="143">
        <f>'Исходные данные'!J24/'Исходные данные'!C24</f>
        <v>4.0081335453100158</v>
      </c>
      <c r="G20" s="139">
        <f t="shared" si="1"/>
        <v>5.6371658033745318</v>
      </c>
      <c r="H20" s="18"/>
      <c r="I20" s="211"/>
    </row>
    <row r="21" spans="1:9" x14ac:dyDescent="0.2">
      <c r="F21" s="211"/>
    </row>
    <row r="22" spans="1:9" ht="116.25" customHeight="1" x14ac:dyDescent="0.2">
      <c r="A22" s="255" t="s">
        <v>83</v>
      </c>
      <c r="B22" s="255"/>
      <c r="C22" s="255"/>
      <c r="D22" s="255"/>
      <c r="E22" s="255"/>
      <c r="F22" s="255"/>
      <c r="G22" s="255"/>
    </row>
  </sheetData>
  <sheetProtection selectLockedCells="1" selectUnlockedCells="1"/>
  <mergeCells count="4">
    <mergeCell ref="A2:G2"/>
    <mergeCell ref="A4:A5"/>
    <mergeCell ref="B4:B5"/>
    <mergeCell ref="A22:G22"/>
  </mergeCells>
  <pageMargins left="0.23622047244094491" right="0.27559055118110237" top="0.51181102362204722" bottom="0.74803149606299213" header="0.27559055118110237" footer="0.51181102362204722"/>
  <pageSetup paperSize="9" firstPageNumber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P28"/>
  <sheetViews>
    <sheetView tabSelected="1" topLeftCell="FV1" zoomScale="73" zoomScaleNormal="73" workbookViewId="0">
      <pane xSplit="29580" topLeftCell="CW1"/>
      <selection activeCell="H33" sqref="H33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9.28515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8.42578125" style="16" customWidth="1"/>
    <col min="196" max="196" width="19.85546875" style="16" customWidth="1"/>
    <col min="197" max="197" width="25" style="16" customWidth="1"/>
    <col min="198" max="16384" width="15.28515625" style="16"/>
  </cols>
  <sheetData>
    <row r="1" spans="1:198" s="17" customFormat="1" ht="22.5" customHeight="1" x14ac:dyDescent="0.2">
      <c r="A1" s="122"/>
      <c r="B1" s="122" t="s">
        <v>199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</row>
    <row r="2" spans="1:198" s="5" customFormat="1" ht="16.5" thickBot="1" x14ac:dyDescent="0.25"/>
    <row r="3" spans="1:198" s="36" customFormat="1" ht="34.5" customHeight="1" thickBot="1" x14ac:dyDescent="0.25">
      <c r="A3" s="262" t="s">
        <v>7</v>
      </c>
      <c r="B3" s="265" t="s">
        <v>58</v>
      </c>
      <c r="C3" s="268" t="s">
        <v>9</v>
      </c>
      <c r="D3" s="269"/>
      <c r="E3" s="269"/>
      <c r="F3" s="270"/>
      <c r="G3" s="285" t="s">
        <v>59</v>
      </c>
      <c r="H3" s="286"/>
      <c r="I3" s="286"/>
      <c r="J3" s="287"/>
      <c r="K3" s="293" t="s">
        <v>80</v>
      </c>
      <c r="L3" s="69" t="s">
        <v>51</v>
      </c>
      <c r="M3" s="290" t="s">
        <v>76</v>
      </c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291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291"/>
      <c r="BA3" s="291"/>
      <c r="BB3" s="291"/>
      <c r="BC3" s="291"/>
      <c r="BD3" s="291"/>
      <c r="BE3" s="291"/>
      <c r="BF3" s="291"/>
      <c r="BG3" s="291"/>
      <c r="BH3" s="291"/>
      <c r="BI3" s="291"/>
      <c r="BJ3" s="291"/>
      <c r="BK3" s="291"/>
      <c r="BL3" s="291"/>
      <c r="BM3" s="291"/>
      <c r="BN3" s="291"/>
      <c r="BO3" s="291"/>
      <c r="BP3" s="291"/>
      <c r="BQ3" s="291"/>
      <c r="BR3" s="291"/>
      <c r="BS3" s="292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296" t="s">
        <v>81</v>
      </c>
      <c r="GK3" s="259" t="s">
        <v>82</v>
      </c>
      <c r="GL3" s="299" t="s">
        <v>79</v>
      </c>
      <c r="GM3" s="282" t="s">
        <v>193</v>
      </c>
    </row>
    <row r="4" spans="1:198" s="26" customFormat="1" ht="29.25" customHeight="1" x14ac:dyDescent="0.2">
      <c r="A4" s="263"/>
      <c r="B4" s="266"/>
      <c r="C4" s="273" t="s">
        <v>10</v>
      </c>
      <c r="D4" s="274"/>
      <c r="E4" s="273" t="s">
        <v>11</v>
      </c>
      <c r="F4" s="274"/>
      <c r="G4" s="276" t="s">
        <v>196</v>
      </c>
      <c r="H4" s="278" t="s">
        <v>12</v>
      </c>
      <c r="I4" s="278" t="s">
        <v>64</v>
      </c>
      <c r="J4" s="288" t="s">
        <v>67</v>
      </c>
      <c r="K4" s="294"/>
      <c r="L4" s="280" t="s">
        <v>77</v>
      </c>
      <c r="M4" s="256" t="s">
        <v>13</v>
      </c>
      <c r="N4" s="257"/>
      <c r="O4" s="257"/>
      <c r="P4" s="257"/>
      <c r="Q4" s="275"/>
      <c r="R4" s="256" t="s">
        <v>14</v>
      </c>
      <c r="S4" s="257"/>
      <c r="T4" s="257"/>
      <c r="U4" s="257"/>
      <c r="V4" s="257"/>
      <c r="W4" s="275"/>
      <c r="X4" s="256" t="s">
        <v>15</v>
      </c>
      <c r="Y4" s="257"/>
      <c r="Z4" s="257"/>
      <c r="AA4" s="257"/>
      <c r="AB4" s="257"/>
      <c r="AC4" s="275"/>
      <c r="AD4" s="256" t="s">
        <v>16</v>
      </c>
      <c r="AE4" s="257"/>
      <c r="AF4" s="257"/>
      <c r="AG4" s="257"/>
      <c r="AH4" s="257"/>
      <c r="AI4" s="275"/>
      <c r="AJ4" s="256" t="s">
        <v>17</v>
      </c>
      <c r="AK4" s="257"/>
      <c r="AL4" s="257"/>
      <c r="AM4" s="257"/>
      <c r="AN4" s="257"/>
      <c r="AO4" s="275"/>
      <c r="AP4" s="256" t="s">
        <v>18</v>
      </c>
      <c r="AQ4" s="257"/>
      <c r="AR4" s="257"/>
      <c r="AS4" s="257"/>
      <c r="AT4" s="257"/>
      <c r="AU4" s="275"/>
      <c r="AV4" s="256" t="s">
        <v>19</v>
      </c>
      <c r="AW4" s="257"/>
      <c r="AX4" s="257"/>
      <c r="AY4" s="257"/>
      <c r="AZ4" s="257"/>
      <c r="BA4" s="275"/>
      <c r="BB4" s="256" t="s">
        <v>20</v>
      </c>
      <c r="BC4" s="257"/>
      <c r="BD4" s="257"/>
      <c r="BE4" s="257"/>
      <c r="BF4" s="257"/>
      <c r="BG4" s="275"/>
      <c r="BH4" s="256" t="s">
        <v>21</v>
      </c>
      <c r="BI4" s="257"/>
      <c r="BJ4" s="257"/>
      <c r="BK4" s="257"/>
      <c r="BL4" s="257"/>
      <c r="BM4" s="275"/>
      <c r="BN4" s="256" t="s">
        <v>22</v>
      </c>
      <c r="BO4" s="257"/>
      <c r="BP4" s="257"/>
      <c r="BQ4" s="257"/>
      <c r="BR4" s="257"/>
      <c r="BS4" s="258"/>
      <c r="BT4" s="256" t="s">
        <v>85</v>
      </c>
      <c r="BU4" s="257"/>
      <c r="BV4" s="257"/>
      <c r="BW4" s="257"/>
      <c r="BX4" s="257"/>
      <c r="BY4" s="258"/>
      <c r="BZ4" s="256" t="s">
        <v>88</v>
      </c>
      <c r="CA4" s="257"/>
      <c r="CB4" s="257"/>
      <c r="CC4" s="257"/>
      <c r="CD4" s="257"/>
      <c r="CE4" s="258"/>
      <c r="CF4" s="256" t="s">
        <v>89</v>
      </c>
      <c r="CG4" s="257"/>
      <c r="CH4" s="257"/>
      <c r="CI4" s="257"/>
      <c r="CJ4" s="257"/>
      <c r="CK4" s="258"/>
      <c r="CL4" s="256" t="s">
        <v>94</v>
      </c>
      <c r="CM4" s="257"/>
      <c r="CN4" s="257"/>
      <c r="CO4" s="257"/>
      <c r="CP4" s="257"/>
      <c r="CQ4" s="258"/>
      <c r="CR4" s="256" t="s">
        <v>97</v>
      </c>
      <c r="CS4" s="257"/>
      <c r="CT4" s="257"/>
      <c r="CU4" s="257"/>
      <c r="CV4" s="257"/>
      <c r="CW4" s="258"/>
      <c r="CX4" s="256" t="s">
        <v>100</v>
      </c>
      <c r="CY4" s="257"/>
      <c r="CZ4" s="257"/>
      <c r="DA4" s="257"/>
      <c r="DB4" s="257"/>
      <c r="DC4" s="258"/>
      <c r="DD4" s="256" t="s">
        <v>103</v>
      </c>
      <c r="DE4" s="257"/>
      <c r="DF4" s="257"/>
      <c r="DG4" s="257"/>
      <c r="DH4" s="257"/>
      <c r="DI4" s="258"/>
      <c r="DJ4" s="256" t="s">
        <v>106</v>
      </c>
      <c r="DK4" s="257"/>
      <c r="DL4" s="257"/>
      <c r="DM4" s="257"/>
      <c r="DN4" s="257"/>
      <c r="DO4" s="258"/>
      <c r="DP4" s="256" t="s">
        <v>109</v>
      </c>
      <c r="DQ4" s="257"/>
      <c r="DR4" s="257"/>
      <c r="DS4" s="257"/>
      <c r="DT4" s="257"/>
      <c r="DU4" s="258"/>
      <c r="DV4" s="256" t="s">
        <v>112</v>
      </c>
      <c r="DW4" s="257"/>
      <c r="DX4" s="257"/>
      <c r="DY4" s="257"/>
      <c r="DZ4" s="257"/>
      <c r="EA4" s="258"/>
      <c r="EB4" s="256" t="s">
        <v>134</v>
      </c>
      <c r="EC4" s="257"/>
      <c r="ED4" s="257"/>
      <c r="EE4" s="257"/>
      <c r="EF4" s="257"/>
      <c r="EG4" s="258"/>
      <c r="EH4" s="256" t="s">
        <v>138</v>
      </c>
      <c r="EI4" s="257"/>
      <c r="EJ4" s="257"/>
      <c r="EK4" s="257"/>
      <c r="EL4" s="257"/>
      <c r="EM4" s="258"/>
      <c r="EN4" s="256" t="s">
        <v>142</v>
      </c>
      <c r="EO4" s="257"/>
      <c r="EP4" s="257"/>
      <c r="EQ4" s="257"/>
      <c r="ER4" s="257"/>
      <c r="ES4" s="258"/>
      <c r="ET4" s="256" t="s">
        <v>146</v>
      </c>
      <c r="EU4" s="257"/>
      <c r="EV4" s="257"/>
      <c r="EW4" s="257"/>
      <c r="EX4" s="257"/>
      <c r="EY4" s="258"/>
      <c r="EZ4" s="256" t="s">
        <v>150</v>
      </c>
      <c r="FA4" s="257"/>
      <c r="FB4" s="257"/>
      <c r="FC4" s="257"/>
      <c r="FD4" s="257"/>
      <c r="FE4" s="258"/>
      <c r="FF4" s="256" t="s">
        <v>154</v>
      </c>
      <c r="FG4" s="257"/>
      <c r="FH4" s="257"/>
      <c r="FI4" s="257"/>
      <c r="FJ4" s="257"/>
      <c r="FK4" s="258"/>
      <c r="FL4" s="256" t="s">
        <v>158</v>
      </c>
      <c r="FM4" s="257"/>
      <c r="FN4" s="257"/>
      <c r="FO4" s="257"/>
      <c r="FP4" s="257"/>
      <c r="FQ4" s="258"/>
      <c r="FR4" s="256" t="s">
        <v>162</v>
      </c>
      <c r="FS4" s="257"/>
      <c r="FT4" s="257"/>
      <c r="FU4" s="257"/>
      <c r="FV4" s="257"/>
      <c r="FW4" s="258"/>
      <c r="FX4" s="256" t="s">
        <v>166</v>
      </c>
      <c r="FY4" s="257"/>
      <c r="FZ4" s="257"/>
      <c r="GA4" s="257"/>
      <c r="GB4" s="257"/>
      <c r="GC4" s="258"/>
      <c r="GD4" s="256" t="s">
        <v>169</v>
      </c>
      <c r="GE4" s="257"/>
      <c r="GF4" s="257"/>
      <c r="GG4" s="257"/>
      <c r="GH4" s="257"/>
      <c r="GI4" s="258"/>
      <c r="GJ4" s="297"/>
      <c r="GK4" s="260"/>
      <c r="GL4" s="300"/>
      <c r="GM4" s="283"/>
    </row>
    <row r="5" spans="1:198" s="26" customFormat="1" ht="246" customHeight="1" thickBot="1" x14ac:dyDescent="0.25">
      <c r="A5" s="263"/>
      <c r="B5" s="267"/>
      <c r="C5" s="271" t="s">
        <v>70</v>
      </c>
      <c r="D5" s="272"/>
      <c r="E5" s="271" t="s">
        <v>74</v>
      </c>
      <c r="F5" s="272"/>
      <c r="G5" s="277"/>
      <c r="H5" s="279"/>
      <c r="I5" s="279"/>
      <c r="J5" s="289"/>
      <c r="K5" s="295"/>
      <c r="L5" s="281"/>
      <c r="M5" s="66" t="s">
        <v>57</v>
      </c>
      <c r="N5" s="132" t="s">
        <v>124</v>
      </c>
      <c r="O5" s="67" t="s">
        <v>65</v>
      </c>
      <c r="P5" s="67" t="s">
        <v>78</v>
      </c>
      <c r="Q5" s="68" t="s">
        <v>23</v>
      </c>
      <c r="R5" s="66" t="s">
        <v>24</v>
      </c>
      <c r="S5" s="132" t="s">
        <v>125</v>
      </c>
      <c r="T5" s="67" t="s">
        <v>57</v>
      </c>
      <c r="U5" s="67" t="s">
        <v>65</v>
      </c>
      <c r="V5" s="67" t="s">
        <v>78</v>
      </c>
      <c r="W5" s="68" t="s">
        <v>25</v>
      </c>
      <c r="X5" s="66" t="s">
        <v>26</v>
      </c>
      <c r="Y5" s="132" t="s">
        <v>126</v>
      </c>
      <c r="Z5" s="67" t="s">
        <v>57</v>
      </c>
      <c r="AA5" s="67" t="s">
        <v>65</v>
      </c>
      <c r="AB5" s="67" t="s">
        <v>78</v>
      </c>
      <c r="AC5" s="68" t="s">
        <v>27</v>
      </c>
      <c r="AD5" s="66" t="s">
        <v>28</v>
      </c>
      <c r="AE5" s="132" t="s">
        <v>127</v>
      </c>
      <c r="AF5" s="67" t="s">
        <v>57</v>
      </c>
      <c r="AG5" s="67" t="s">
        <v>65</v>
      </c>
      <c r="AH5" s="67" t="s">
        <v>78</v>
      </c>
      <c r="AI5" s="68" t="s">
        <v>29</v>
      </c>
      <c r="AJ5" s="66" t="s">
        <v>30</v>
      </c>
      <c r="AK5" s="132" t="s">
        <v>128</v>
      </c>
      <c r="AL5" s="67" t="s">
        <v>57</v>
      </c>
      <c r="AM5" s="67" t="s">
        <v>65</v>
      </c>
      <c r="AN5" s="67" t="s">
        <v>78</v>
      </c>
      <c r="AO5" s="68" t="s">
        <v>31</v>
      </c>
      <c r="AP5" s="66" t="s">
        <v>32</v>
      </c>
      <c r="AQ5" s="132" t="s">
        <v>129</v>
      </c>
      <c r="AR5" s="67" t="s">
        <v>57</v>
      </c>
      <c r="AS5" s="67" t="s">
        <v>65</v>
      </c>
      <c r="AT5" s="67" t="s">
        <v>78</v>
      </c>
      <c r="AU5" s="68" t="s">
        <v>33</v>
      </c>
      <c r="AV5" s="66" t="s">
        <v>34</v>
      </c>
      <c r="AW5" s="132" t="s">
        <v>130</v>
      </c>
      <c r="AX5" s="67" t="s">
        <v>57</v>
      </c>
      <c r="AY5" s="67" t="s">
        <v>65</v>
      </c>
      <c r="AZ5" s="67" t="s">
        <v>78</v>
      </c>
      <c r="BA5" s="68" t="s">
        <v>35</v>
      </c>
      <c r="BB5" s="66" t="s">
        <v>36</v>
      </c>
      <c r="BC5" s="132" t="s">
        <v>131</v>
      </c>
      <c r="BD5" s="67" t="s">
        <v>57</v>
      </c>
      <c r="BE5" s="67" t="s">
        <v>65</v>
      </c>
      <c r="BF5" s="67" t="s">
        <v>78</v>
      </c>
      <c r="BG5" s="68" t="s">
        <v>37</v>
      </c>
      <c r="BH5" s="66" t="s">
        <v>38</v>
      </c>
      <c r="BI5" s="132" t="s">
        <v>132</v>
      </c>
      <c r="BJ5" s="67" t="s">
        <v>57</v>
      </c>
      <c r="BK5" s="67" t="s">
        <v>65</v>
      </c>
      <c r="BL5" s="67" t="s">
        <v>78</v>
      </c>
      <c r="BM5" s="68" t="s">
        <v>39</v>
      </c>
      <c r="BN5" s="66" t="s">
        <v>40</v>
      </c>
      <c r="BO5" s="132" t="s">
        <v>133</v>
      </c>
      <c r="BP5" s="67" t="s">
        <v>57</v>
      </c>
      <c r="BQ5" s="67" t="s">
        <v>65</v>
      </c>
      <c r="BR5" s="67" t="s">
        <v>78</v>
      </c>
      <c r="BS5" s="82" t="s">
        <v>41</v>
      </c>
      <c r="BT5" s="66" t="s">
        <v>86</v>
      </c>
      <c r="BU5" s="132" t="s">
        <v>115</v>
      </c>
      <c r="BV5" s="130" t="s">
        <v>57</v>
      </c>
      <c r="BW5" s="130" t="s">
        <v>65</v>
      </c>
      <c r="BX5" s="130" t="s">
        <v>78</v>
      </c>
      <c r="BY5" s="131" t="s">
        <v>87</v>
      </c>
      <c r="BZ5" s="66" t="s">
        <v>90</v>
      </c>
      <c r="CA5" s="132" t="s">
        <v>116</v>
      </c>
      <c r="CB5" s="130" t="s">
        <v>57</v>
      </c>
      <c r="CC5" s="130" t="s">
        <v>65</v>
      </c>
      <c r="CD5" s="130" t="s">
        <v>78</v>
      </c>
      <c r="CE5" s="131" t="s">
        <v>91</v>
      </c>
      <c r="CF5" s="66" t="s">
        <v>92</v>
      </c>
      <c r="CG5" s="132" t="s">
        <v>117</v>
      </c>
      <c r="CH5" s="130" t="s">
        <v>57</v>
      </c>
      <c r="CI5" s="130" t="s">
        <v>65</v>
      </c>
      <c r="CJ5" s="130" t="s">
        <v>78</v>
      </c>
      <c r="CK5" s="131" t="s">
        <v>93</v>
      </c>
      <c r="CL5" s="66" t="s">
        <v>95</v>
      </c>
      <c r="CM5" s="132" t="s">
        <v>118</v>
      </c>
      <c r="CN5" s="130" t="s">
        <v>57</v>
      </c>
      <c r="CO5" s="130" t="s">
        <v>65</v>
      </c>
      <c r="CP5" s="130" t="s">
        <v>78</v>
      </c>
      <c r="CQ5" s="131" t="s">
        <v>96</v>
      </c>
      <c r="CR5" s="66" t="s">
        <v>98</v>
      </c>
      <c r="CS5" s="132" t="s">
        <v>119</v>
      </c>
      <c r="CT5" s="130" t="s">
        <v>57</v>
      </c>
      <c r="CU5" s="130" t="s">
        <v>65</v>
      </c>
      <c r="CV5" s="130" t="s">
        <v>78</v>
      </c>
      <c r="CW5" s="131" t="s">
        <v>99</v>
      </c>
      <c r="CX5" s="66" t="s">
        <v>101</v>
      </c>
      <c r="CY5" s="132" t="s">
        <v>120</v>
      </c>
      <c r="CZ5" s="130" t="s">
        <v>57</v>
      </c>
      <c r="DA5" s="130" t="s">
        <v>65</v>
      </c>
      <c r="DB5" s="130" t="s">
        <v>78</v>
      </c>
      <c r="DC5" s="131" t="s">
        <v>102</v>
      </c>
      <c r="DD5" s="66" t="s">
        <v>104</v>
      </c>
      <c r="DE5" s="132" t="s">
        <v>121</v>
      </c>
      <c r="DF5" s="130" t="s">
        <v>57</v>
      </c>
      <c r="DG5" s="130" t="s">
        <v>65</v>
      </c>
      <c r="DH5" s="130" t="s">
        <v>78</v>
      </c>
      <c r="DI5" s="131" t="s">
        <v>105</v>
      </c>
      <c r="DJ5" s="66" t="s">
        <v>107</v>
      </c>
      <c r="DK5" s="130" t="s">
        <v>66</v>
      </c>
      <c r="DL5" s="130" t="s">
        <v>57</v>
      </c>
      <c r="DM5" s="130" t="s">
        <v>65</v>
      </c>
      <c r="DN5" s="130" t="s">
        <v>78</v>
      </c>
      <c r="DO5" s="131" t="s">
        <v>108</v>
      </c>
      <c r="DP5" s="66" t="s">
        <v>110</v>
      </c>
      <c r="DQ5" s="132" t="s">
        <v>122</v>
      </c>
      <c r="DR5" s="130" t="s">
        <v>57</v>
      </c>
      <c r="DS5" s="130" t="s">
        <v>65</v>
      </c>
      <c r="DT5" s="130" t="s">
        <v>78</v>
      </c>
      <c r="DU5" s="131" t="s">
        <v>111</v>
      </c>
      <c r="DV5" s="66" t="s">
        <v>114</v>
      </c>
      <c r="DW5" s="132" t="s">
        <v>123</v>
      </c>
      <c r="DX5" s="130" t="s">
        <v>57</v>
      </c>
      <c r="DY5" s="130" t="s">
        <v>65</v>
      </c>
      <c r="DZ5" s="130" t="s">
        <v>78</v>
      </c>
      <c r="EA5" s="131" t="s">
        <v>113</v>
      </c>
      <c r="EB5" s="66" t="s">
        <v>135</v>
      </c>
      <c r="EC5" s="133" t="s">
        <v>136</v>
      </c>
      <c r="ED5" s="133" t="s">
        <v>57</v>
      </c>
      <c r="EE5" s="133" t="s">
        <v>65</v>
      </c>
      <c r="EF5" s="133" t="s">
        <v>78</v>
      </c>
      <c r="EG5" s="134" t="s">
        <v>137</v>
      </c>
      <c r="EH5" s="66" t="s">
        <v>139</v>
      </c>
      <c r="EI5" s="133" t="s">
        <v>140</v>
      </c>
      <c r="EJ5" s="133" t="s">
        <v>57</v>
      </c>
      <c r="EK5" s="133" t="s">
        <v>65</v>
      </c>
      <c r="EL5" s="133" t="s">
        <v>78</v>
      </c>
      <c r="EM5" s="134" t="s">
        <v>141</v>
      </c>
      <c r="EN5" s="66" t="s">
        <v>143</v>
      </c>
      <c r="EO5" s="133" t="s">
        <v>144</v>
      </c>
      <c r="EP5" s="133" t="s">
        <v>57</v>
      </c>
      <c r="EQ5" s="133" t="s">
        <v>65</v>
      </c>
      <c r="ER5" s="133" t="s">
        <v>78</v>
      </c>
      <c r="ES5" s="134" t="s">
        <v>145</v>
      </c>
      <c r="ET5" s="66" t="s">
        <v>147</v>
      </c>
      <c r="EU5" s="133" t="s">
        <v>148</v>
      </c>
      <c r="EV5" s="133" t="s">
        <v>57</v>
      </c>
      <c r="EW5" s="133" t="s">
        <v>65</v>
      </c>
      <c r="EX5" s="133" t="s">
        <v>78</v>
      </c>
      <c r="EY5" s="134" t="s">
        <v>149</v>
      </c>
      <c r="EZ5" s="66" t="s">
        <v>151</v>
      </c>
      <c r="FA5" s="133" t="s">
        <v>152</v>
      </c>
      <c r="FB5" s="133" t="s">
        <v>57</v>
      </c>
      <c r="FC5" s="133" t="s">
        <v>65</v>
      </c>
      <c r="FD5" s="133" t="s">
        <v>78</v>
      </c>
      <c r="FE5" s="134" t="s">
        <v>153</v>
      </c>
      <c r="FF5" s="66" t="s">
        <v>155</v>
      </c>
      <c r="FG5" s="133" t="s">
        <v>156</v>
      </c>
      <c r="FH5" s="133" t="s">
        <v>57</v>
      </c>
      <c r="FI5" s="133" t="s">
        <v>65</v>
      </c>
      <c r="FJ5" s="133" t="s">
        <v>78</v>
      </c>
      <c r="FK5" s="134" t="s">
        <v>157</v>
      </c>
      <c r="FL5" s="66" t="s">
        <v>159</v>
      </c>
      <c r="FM5" s="133" t="s">
        <v>160</v>
      </c>
      <c r="FN5" s="133" t="s">
        <v>57</v>
      </c>
      <c r="FO5" s="133" t="s">
        <v>65</v>
      </c>
      <c r="FP5" s="133" t="s">
        <v>78</v>
      </c>
      <c r="FQ5" s="134" t="s">
        <v>161</v>
      </c>
      <c r="FR5" s="66" t="s">
        <v>163</v>
      </c>
      <c r="FS5" s="133" t="s">
        <v>164</v>
      </c>
      <c r="FT5" s="133" t="s">
        <v>57</v>
      </c>
      <c r="FU5" s="133" t="s">
        <v>65</v>
      </c>
      <c r="FV5" s="133" t="s">
        <v>78</v>
      </c>
      <c r="FW5" s="134" t="s">
        <v>165</v>
      </c>
      <c r="FX5" s="66" t="s">
        <v>167</v>
      </c>
      <c r="FY5" s="133" t="s">
        <v>171</v>
      </c>
      <c r="FZ5" s="133" t="s">
        <v>57</v>
      </c>
      <c r="GA5" s="133" t="s">
        <v>65</v>
      </c>
      <c r="GB5" s="133" t="s">
        <v>78</v>
      </c>
      <c r="GC5" s="134" t="s">
        <v>168</v>
      </c>
      <c r="GD5" s="66" t="s">
        <v>170</v>
      </c>
      <c r="GE5" s="133" t="s">
        <v>172</v>
      </c>
      <c r="GF5" s="133" t="s">
        <v>57</v>
      </c>
      <c r="GG5" s="133" t="s">
        <v>65</v>
      </c>
      <c r="GH5" s="133" t="s">
        <v>78</v>
      </c>
      <c r="GI5" s="134" t="s">
        <v>173</v>
      </c>
      <c r="GJ5" s="298"/>
      <c r="GK5" s="261"/>
      <c r="GL5" s="301"/>
      <c r="GM5" s="284"/>
    </row>
    <row r="6" spans="1:198" s="26" customFormat="1" ht="19.5" thickBot="1" x14ac:dyDescent="0.25">
      <c r="A6" s="264"/>
      <c r="B6" s="104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72</v>
      </c>
      <c r="J6" s="111" t="s">
        <v>69</v>
      </c>
      <c r="K6" s="116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1" t="s">
        <v>52</v>
      </c>
      <c r="BT6" s="71" t="s">
        <v>46</v>
      </c>
      <c r="BU6" s="64" t="s">
        <v>55</v>
      </c>
      <c r="BV6" s="64" t="s">
        <v>47</v>
      </c>
      <c r="BW6" s="64" t="s">
        <v>84</v>
      </c>
      <c r="BX6" s="64" t="s">
        <v>53</v>
      </c>
      <c r="BY6" s="111" t="s">
        <v>52</v>
      </c>
      <c r="BZ6" s="71" t="s">
        <v>46</v>
      </c>
      <c r="CA6" s="64" t="s">
        <v>55</v>
      </c>
      <c r="CB6" s="64" t="s">
        <v>47</v>
      </c>
      <c r="CC6" s="64" t="s">
        <v>84</v>
      </c>
      <c r="CD6" s="64" t="s">
        <v>53</v>
      </c>
      <c r="CE6" s="111" t="s">
        <v>52</v>
      </c>
      <c r="CF6" s="71" t="s">
        <v>46</v>
      </c>
      <c r="CG6" s="64" t="s">
        <v>55</v>
      </c>
      <c r="CH6" s="64" t="s">
        <v>47</v>
      </c>
      <c r="CI6" s="64" t="s">
        <v>84</v>
      </c>
      <c r="CJ6" s="64" t="s">
        <v>53</v>
      </c>
      <c r="CK6" s="111" t="s">
        <v>52</v>
      </c>
      <c r="CL6" s="71" t="s">
        <v>46</v>
      </c>
      <c r="CM6" s="64" t="s">
        <v>55</v>
      </c>
      <c r="CN6" s="64" t="s">
        <v>47</v>
      </c>
      <c r="CO6" s="64" t="s">
        <v>84</v>
      </c>
      <c r="CP6" s="64" t="s">
        <v>53</v>
      </c>
      <c r="CQ6" s="111" t="s">
        <v>52</v>
      </c>
      <c r="CR6" s="71" t="s">
        <v>46</v>
      </c>
      <c r="CS6" s="64" t="s">
        <v>55</v>
      </c>
      <c r="CT6" s="64" t="s">
        <v>47</v>
      </c>
      <c r="CU6" s="64" t="s">
        <v>84</v>
      </c>
      <c r="CV6" s="64" t="s">
        <v>53</v>
      </c>
      <c r="CW6" s="111" t="s">
        <v>52</v>
      </c>
      <c r="CX6" s="71" t="s">
        <v>46</v>
      </c>
      <c r="CY6" s="64" t="s">
        <v>55</v>
      </c>
      <c r="CZ6" s="64" t="s">
        <v>47</v>
      </c>
      <c r="DA6" s="64" t="s">
        <v>84</v>
      </c>
      <c r="DB6" s="64" t="s">
        <v>53</v>
      </c>
      <c r="DC6" s="111" t="s">
        <v>52</v>
      </c>
      <c r="DD6" s="71" t="s">
        <v>46</v>
      </c>
      <c r="DE6" s="64" t="s">
        <v>55</v>
      </c>
      <c r="DF6" s="64" t="s">
        <v>47</v>
      </c>
      <c r="DG6" s="64" t="s">
        <v>84</v>
      </c>
      <c r="DH6" s="64" t="s">
        <v>53</v>
      </c>
      <c r="DI6" s="111" t="s">
        <v>52</v>
      </c>
      <c r="DJ6" s="71" t="s">
        <v>46</v>
      </c>
      <c r="DK6" s="64" t="s">
        <v>55</v>
      </c>
      <c r="DL6" s="64" t="s">
        <v>47</v>
      </c>
      <c r="DM6" s="64" t="s">
        <v>84</v>
      </c>
      <c r="DN6" s="64" t="s">
        <v>53</v>
      </c>
      <c r="DO6" s="111" t="s">
        <v>52</v>
      </c>
      <c r="DP6" s="71" t="s">
        <v>46</v>
      </c>
      <c r="DQ6" s="64" t="s">
        <v>55</v>
      </c>
      <c r="DR6" s="64" t="s">
        <v>47</v>
      </c>
      <c r="DS6" s="64" t="s">
        <v>84</v>
      </c>
      <c r="DT6" s="64" t="s">
        <v>53</v>
      </c>
      <c r="DU6" s="111" t="s">
        <v>52</v>
      </c>
      <c r="DV6" s="71" t="s">
        <v>46</v>
      </c>
      <c r="DW6" s="64" t="s">
        <v>55</v>
      </c>
      <c r="DX6" s="64" t="s">
        <v>47</v>
      </c>
      <c r="DY6" s="64" t="s">
        <v>84</v>
      </c>
      <c r="DZ6" s="64" t="s">
        <v>53</v>
      </c>
      <c r="EA6" s="111" t="s">
        <v>52</v>
      </c>
      <c r="EB6" s="71" t="s">
        <v>46</v>
      </c>
      <c r="EC6" s="64" t="s">
        <v>55</v>
      </c>
      <c r="ED6" s="64" t="s">
        <v>47</v>
      </c>
      <c r="EE6" s="64" t="s">
        <v>84</v>
      </c>
      <c r="EF6" s="64" t="s">
        <v>53</v>
      </c>
      <c r="EG6" s="111" t="s">
        <v>52</v>
      </c>
      <c r="EH6" s="71" t="s">
        <v>46</v>
      </c>
      <c r="EI6" s="64" t="s">
        <v>55</v>
      </c>
      <c r="EJ6" s="64" t="s">
        <v>47</v>
      </c>
      <c r="EK6" s="64" t="s">
        <v>84</v>
      </c>
      <c r="EL6" s="64" t="s">
        <v>53</v>
      </c>
      <c r="EM6" s="111" t="s">
        <v>52</v>
      </c>
      <c r="EN6" s="71" t="s">
        <v>46</v>
      </c>
      <c r="EO6" s="64" t="s">
        <v>55</v>
      </c>
      <c r="EP6" s="64" t="s">
        <v>47</v>
      </c>
      <c r="EQ6" s="64" t="s">
        <v>84</v>
      </c>
      <c r="ER6" s="64" t="s">
        <v>53</v>
      </c>
      <c r="ES6" s="111" t="s">
        <v>52</v>
      </c>
      <c r="ET6" s="71" t="s">
        <v>46</v>
      </c>
      <c r="EU6" s="64" t="s">
        <v>55</v>
      </c>
      <c r="EV6" s="64" t="s">
        <v>47</v>
      </c>
      <c r="EW6" s="64" t="s">
        <v>84</v>
      </c>
      <c r="EX6" s="64" t="s">
        <v>53</v>
      </c>
      <c r="EY6" s="111" t="s">
        <v>52</v>
      </c>
      <c r="EZ6" s="71" t="s">
        <v>46</v>
      </c>
      <c r="FA6" s="64" t="s">
        <v>55</v>
      </c>
      <c r="FB6" s="64" t="s">
        <v>47</v>
      </c>
      <c r="FC6" s="64" t="s">
        <v>84</v>
      </c>
      <c r="FD6" s="64" t="s">
        <v>53</v>
      </c>
      <c r="FE6" s="111" t="s">
        <v>52</v>
      </c>
      <c r="FF6" s="71" t="s">
        <v>46</v>
      </c>
      <c r="FG6" s="64" t="s">
        <v>55</v>
      </c>
      <c r="FH6" s="64" t="s">
        <v>47</v>
      </c>
      <c r="FI6" s="64" t="s">
        <v>84</v>
      </c>
      <c r="FJ6" s="64" t="s">
        <v>53</v>
      </c>
      <c r="FK6" s="111" t="s">
        <v>52</v>
      </c>
      <c r="FL6" s="71" t="s">
        <v>46</v>
      </c>
      <c r="FM6" s="64" t="s">
        <v>55</v>
      </c>
      <c r="FN6" s="64" t="s">
        <v>47</v>
      </c>
      <c r="FO6" s="64" t="s">
        <v>84</v>
      </c>
      <c r="FP6" s="64" t="s">
        <v>53</v>
      </c>
      <c r="FQ6" s="111" t="s">
        <v>52</v>
      </c>
      <c r="FR6" s="71" t="s">
        <v>46</v>
      </c>
      <c r="FS6" s="64" t="s">
        <v>55</v>
      </c>
      <c r="FT6" s="64" t="s">
        <v>47</v>
      </c>
      <c r="FU6" s="64" t="s">
        <v>84</v>
      </c>
      <c r="FV6" s="64" t="s">
        <v>53</v>
      </c>
      <c r="FW6" s="111" t="s">
        <v>52</v>
      </c>
      <c r="FX6" s="71" t="s">
        <v>46</v>
      </c>
      <c r="FY6" s="64" t="s">
        <v>55</v>
      </c>
      <c r="FZ6" s="64" t="s">
        <v>47</v>
      </c>
      <c r="GA6" s="64" t="s">
        <v>84</v>
      </c>
      <c r="GB6" s="64" t="s">
        <v>53</v>
      </c>
      <c r="GC6" s="111" t="s">
        <v>52</v>
      </c>
      <c r="GD6" s="71" t="s">
        <v>46</v>
      </c>
      <c r="GE6" s="64" t="s">
        <v>55</v>
      </c>
      <c r="GF6" s="64" t="s">
        <v>47</v>
      </c>
      <c r="GG6" s="64" t="s">
        <v>84</v>
      </c>
      <c r="GH6" s="64" t="s">
        <v>53</v>
      </c>
      <c r="GI6" s="111" t="s">
        <v>52</v>
      </c>
      <c r="GJ6" s="179" t="s">
        <v>52</v>
      </c>
      <c r="GK6" s="177" t="s">
        <v>60</v>
      </c>
      <c r="GL6" s="213" t="s">
        <v>75</v>
      </c>
      <c r="GM6" s="222" t="s">
        <v>192</v>
      </c>
    </row>
    <row r="7" spans="1:198" s="27" customFormat="1" thickBot="1" x14ac:dyDescent="0.25">
      <c r="A7" s="101">
        <v>1</v>
      </c>
      <c r="B7" s="105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0">
        <f>F7+1</f>
        <v>7</v>
      </c>
      <c r="H7" s="61">
        <f t="shared" si="0"/>
        <v>8</v>
      </c>
      <c r="I7" s="61">
        <f t="shared" ref="I7:L7" si="1">H7+1</f>
        <v>9</v>
      </c>
      <c r="J7" s="112">
        <f>I7+1</f>
        <v>10</v>
      </c>
      <c r="K7" s="117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12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12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12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12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12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12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12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12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12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12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12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12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12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12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12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12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12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12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12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12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12">
        <f t="shared" ref="GI7" si="103">GH7+1</f>
        <v>191</v>
      </c>
      <c r="GJ7" s="62">
        <f>GI7+1</f>
        <v>192</v>
      </c>
      <c r="GK7" s="178">
        <f>GJ7+1</f>
        <v>193</v>
      </c>
      <c r="GL7" s="214">
        <f>GK7+1</f>
        <v>194</v>
      </c>
      <c r="GM7" s="219">
        <v>195</v>
      </c>
    </row>
    <row r="8" spans="1:198" s="28" customFormat="1" thickBot="1" x14ac:dyDescent="0.25">
      <c r="A8" s="102" t="s">
        <v>3</v>
      </c>
      <c r="B8" s="106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3" t="s">
        <v>68</v>
      </c>
      <c r="K8" s="118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3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3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3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3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3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3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3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3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3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3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84" t="s">
        <v>4</v>
      </c>
      <c r="EA8" s="113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84" t="s">
        <v>4</v>
      </c>
      <c r="EG8" s="113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84" t="s">
        <v>4</v>
      </c>
      <c r="EM8" s="113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84" t="s">
        <v>4</v>
      </c>
      <c r="EY8" s="113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84" t="s">
        <v>4</v>
      </c>
      <c r="FE8" s="113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84" t="s">
        <v>4</v>
      </c>
      <c r="FK8" s="113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84" t="s">
        <v>4</v>
      </c>
      <c r="FQ8" s="113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84" t="s">
        <v>4</v>
      </c>
      <c r="FW8" s="113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84" t="s">
        <v>4</v>
      </c>
      <c r="GC8" s="113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84" t="s">
        <v>4</v>
      </c>
      <c r="GI8" s="113" t="s">
        <v>4</v>
      </c>
      <c r="GJ8" s="181" t="s">
        <v>4</v>
      </c>
      <c r="GK8" s="180" t="s">
        <v>4</v>
      </c>
      <c r="GL8" s="215" t="s">
        <v>50</v>
      </c>
      <c r="GM8" s="220" t="s">
        <v>4</v>
      </c>
    </row>
    <row r="9" spans="1:198" s="25" customFormat="1" x14ac:dyDescent="0.25">
      <c r="A9" s="160" t="s">
        <v>174</v>
      </c>
      <c r="B9" s="163" t="s">
        <v>8</v>
      </c>
      <c r="C9" s="163" t="s">
        <v>8</v>
      </c>
      <c r="D9" s="163" t="s">
        <v>8</v>
      </c>
      <c r="E9" s="163" t="s">
        <v>8</v>
      </c>
      <c r="F9" s="163" t="s">
        <v>8</v>
      </c>
      <c r="G9" s="107">
        <f>'Исходные данные'!C11</f>
        <v>72</v>
      </c>
      <c r="H9" s="49">
        <f>'Исходные данные'!D11</f>
        <v>24510.596076469934</v>
      </c>
      <c r="I9" s="50">
        <f>'Расчет КРП'!G7</f>
        <v>22.720360727086533</v>
      </c>
      <c r="J9" s="114" t="s">
        <v>8</v>
      </c>
      <c r="K9" s="166">
        <f t="shared" ref="K9:K22" si="104">((H9/G9)/($H$23/$G$23))/I9</f>
        <v>1.2084776814698378E-2</v>
      </c>
      <c r="L9" s="167">
        <f t="shared" ref="L9:L22" si="105">$D$23*G9/$G$23</f>
        <v>16497.574711490215</v>
      </c>
      <c r="M9" s="171">
        <f t="shared" ref="M9:M22" si="106">(((H9+L9)/G9)/$J$23)/I9</f>
        <v>2.0218789865632095E-2</v>
      </c>
      <c r="N9" s="172" t="s">
        <v>8</v>
      </c>
      <c r="O9" s="173">
        <f t="shared" ref="O9:O22" si="107">$N$23-M9</f>
        <v>0.14090854987371992</v>
      </c>
      <c r="P9" s="185">
        <f t="shared" ref="P9:P22" si="108">IF(O9&gt;0,G9*I9*(($H$23+$L$23)/$G$23)*O9,0)</f>
        <v>338610.52747337363</v>
      </c>
      <c r="Q9" s="174">
        <f t="shared" ref="Q9:Q22" si="109">IF(($F$23-P$23)&gt;0,P9,$F$23*P9/P$23)</f>
        <v>338610.52747337363</v>
      </c>
      <c r="R9" s="168" t="s">
        <v>8</v>
      </c>
      <c r="S9" s="48" t="s">
        <v>8</v>
      </c>
      <c r="T9" s="52">
        <f t="shared" ref="T9:T22" si="110">(((H9+L9+Q9)/G9)/$J$23)/I9</f>
        <v>0.18716832625619528</v>
      </c>
      <c r="U9" s="51">
        <f t="shared" ref="U9:U22" si="111">S$23-T9</f>
        <v>7.991107287313709E-2</v>
      </c>
      <c r="V9" s="53">
        <f t="shared" ref="V9:V22" si="112">IF(U9&gt;0,$G9*$I9*(($H$23+$L$23+$Q$23)/$G$23)*U9,0)</f>
        <v>245931.95007474421</v>
      </c>
      <c r="W9" s="79">
        <f t="shared" ref="W9:W22" si="113">IF((R$23-V$23)&gt;0,V9,R$23*V9/V$23)</f>
        <v>245931.95007474421</v>
      </c>
      <c r="X9" s="75" t="s">
        <v>8</v>
      </c>
      <c r="Y9" s="48" t="s">
        <v>8</v>
      </c>
      <c r="Z9" s="52">
        <f t="shared" ref="Z9:Z22" si="114">(((H9+L9+Q9+W9)/G9)/$J$23)/I9</f>
        <v>0.30842334261664878</v>
      </c>
      <c r="AA9" s="51">
        <f t="shared" ref="AA9:AA22" si="115">Y$23-Z9</f>
        <v>7.2912209987247845E-2</v>
      </c>
      <c r="AB9" s="53">
        <f t="shared" ref="AB9:AB22" si="116">IF(AA9&gt;0,$G9*$I9*(($H$23+$L$23+$Q$23+$W$23)/$G$23)*AA9,0)</f>
        <v>280592.29015627294</v>
      </c>
      <c r="AC9" s="79">
        <f t="shared" ref="AC9:AC22" si="117">IF((X$23-AB$23)&gt;0,AB9,X$23*AB9/AB$23)</f>
        <v>280592.29015627294</v>
      </c>
      <c r="AD9" s="75" t="s">
        <v>8</v>
      </c>
      <c r="AE9" s="48" t="s">
        <v>8</v>
      </c>
      <c r="AF9" s="52">
        <f t="shared" ref="AF9:AF22" si="118">(((H9+L9+Q9+W9+AC9)/G9)/$J$23)/I9</f>
        <v>0.44676739560844408</v>
      </c>
      <c r="AG9" s="51">
        <f t="shared" ref="AG9:AG22" si="119">AE$23-AF9</f>
        <v>4.8534769677468392E-2</v>
      </c>
      <c r="AH9" s="53">
        <f t="shared" ref="AH9:AH22" si="120">IF(AG9&gt;0,$G9*$I9*(($H$23+$L$23+$Q$23+$W$23+$AC$23)/$G$23)*AG9,0)</f>
        <v>223470.91768395546</v>
      </c>
      <c r="AI9" s="79">
        <f t="shared" ref="AI9:AI22" si="121">IF((AD$23-AH$23)&gt;0,AH9,AD$23*AH9/AH$23)</f>
        <v>223470.91768395546</v>
      </c>
      <c r="AJ9" s="75" t="s">
        <v>8</v>
      </c>
      <c r="AK9" s="48" t="s">
        <v>8</v>
      </c>
      <c r="AL9" s="52">
        <f t="shared" ref="AL9:AL22" si="122">(((H9+L9+Q9+W9+AC9+AI9)/G9)/$J$23)/I9</f>
        <v>0.55694815809830422</v>
      </c>
      <c r="AM9" s="51">
        <f t="shared" ref="AM9:AM22" si="123">AK$23-AL9</f>
        <v>4.0212702466961181E-2</v>
      </c>
      <c r="AN9" s="53">
        <f t="shared" ref="AN9:AN22" si="124">IF(AM9&gt;0,$G9*$I9*(($H$23+$L$23+$Q$23+$W$23+$AC$23+$AI$23)/$G$23)*AM9,0)</f>
        <v>212723.66141665872</v>
      </c>
      <c r="AO9" s="79">
        <f t="shared" ref="AO9:AO22" si="125">IF((AJ$23-AN$23)&gt;0,AN9,AJ$23*AN9/AN$23)</f>
        <v>192740.55917334897</v>
      </c>
      <c r="AP9" s="75" t="s">
        <v>8</v>
      </c>
      <c r="AQ9" s="48" t="s">
        <v>8</v>
      </c>
      <c r="AR9" s="52">
        <f t="shared" ref="AR9:AR22" si="126">(((H9+L9+Q9+W9+AC9+AI9+AO9)/G9)/$J$23)/I9</f>
        <v>0.65197753369909339</v>
      </c>
      <c r="AS9" s="51">
        <f t="shared" ref="AS9:AS22" si="127">AQ$23-AR9</f>
        <v>1.9121489515226964E-2</v>
      </c>
      <c r="AT9" s="53">
        <f t="shared" ref="AT9:AT22" si="128">IF(AS9&gt;0,$G9*$I9*(($H$23+$L$23+$Q$23+$W$23+$AC$23+$AI$23+$AO$23)/$G$23)*AS9,0)</f>
        <v>110455.84476773813</v>
      </c>
      <c r="AU9" s="79">
        <f t="shared" ref="AU9:AU22" si="129">IF((AP$23-AT$23)&gt;0,AT9,AP$23*AT9/AT$23)</f>
        <v>0</v>
      </c>
      <c r="AV9" s="75" t="s">
        <v>8</v>
      </c>
      <c r="AW9" s="48" t="s">
        <v>8</v>
      </c>
      <c r="AX9" s="52">
        <f t="shared" ref="AX9:AX22" si="130">(((H9+L9+Q9+W9+AC9+AI9+AO9+AU9)/G9)/$J$23)/I9</f>
        <v>0.65197753369909339</v>
      </c>
      <c r="AY9" s="51">
        <f t="shared" ref="AY9:AY22" si="131">AW$23-AX9</f>
        <v>1.9121489515226964E-2</v>
      </c>
      <c r="AZ9" s="53">
        <f t="shared" ref="AZ9:AZ22" si="132">IF(AY9&gt;0,$G9*$I9*(($H$23+$L$23+$Q$23+$W$23+$AC$23+$AI$23+$AO$23+$AU$23)/$G$23)*AY9,0)</f>
        <v>110455.84476773813</v>
      </c>
      <c r="BA9" s="79">
        <f t="shared" ref="BA9:BA22" si="133">IF((AV$23-AZ$23)&gt;0,AZ9,AV$23*AZ9/AZ$23)</f>
        <v>0</v>
      </c>
      <c r="BB9" s="75" t="s">
        <v>8</v>
      </c>
      <c r="BC9" s="48" t="s">
        <v>8</v>
      </c>
      <c r="BD9" s="52">
        <f t="shared" ref="BD9:BD22" si="134">(((H9+L9+Q9+W9+AC9+AI9+AO9+AU9+BA9)/G9)/$J$23)/I9</f>
        <v>0.65197753369909339</v>
      </c>
      <c r="BE9" s="51">
        <f t="shared" ref="BE9:BE22" si="135">BC$23-BD9</f>
        <v>1.9121489515226964E-2</v>
      </c>
      <c r="BF9" s="53">
        <f t="shared" ref="BF9:BF22" si="136">IF(BE9&gt;0,$G9*$I9*(($H$23+$L$23+$Q$23+$W$23+$AC$23+$AI$23+$AO$23+$AU$23+$BA$23)/$G$23)*BE9,0)</f>
        <v>110455.84476773813</v>
      </c>
      <c r="BG9" s="79">
        <f t="shared" ref="BG9:BG22" si="137">IF((BB$23-BF$23)&gt;0,BF9,BB$23*BF9/BF$23)</f>
        <v>0</v>
      </c>
      <c r="BH9" s="75" t="s">
        <v>8</v>
      </c>
      <c r="BI9" s="48" t="s">
        <v>8</v>
      </c>
      <c r="BJ9" s="52">
        <f t="shared" ref="BJ9:BJ22" si="138">(((H9+L9+Q9+W9+AC9+AI9+AO9+AU9+BA9+BG9)/G9)/$J$23)/I9</f>
        <v>0.65197753369909339</v>
      </c>
      <c r="BK9" s="51">
        <f t="shared" ref="BK9:BK22" si="139">BI$23-BJ9</f>
        <v>1.9121489515226964E-2</v>
      </c>
      <c r="BL9" s="53">
        <f t="shared" ref="BL9:BL22" si="140">IF(BK9&gt;0,$G9*$I9*(($H$23+$L$23+$Q$23+$W$23+$AC$23+$AI$23+$AO$23+$AU$23+$BA$23+$BG$23)/$G$23)*BK9,0)</f>
        <v>110455.84476773813</v>
      </c>
      <c r="BM9" s="79">
        <f t="shared" ref="BM9:BM22" si="141">IF((BH$23-BL$23)&gt;0,BL9,BH$23*BL9/BL$23)</f>
        <v>0</v>
      </c>
      <c r="BN9" s="75" t="s">
        <v>8</v>
      </c>
      <c r="BO9" s="48" t="s">
        <v>8</v>
      </c>
      <c r="BP9" s="52">
        <f t="shared" ref="BP9:BP22" si="142">(((H9+L9+Q9+W9+AC9+AI9+AO9+AU9+BA9+BG9+BM9)/G9)/$J$23)/I9</f>
        <v>0.65197753369909339</v>
      </c>
      <c r="BQ9" s="51">
        <f t="shared" ref="BQ9:BQ22" si="143">BO$23-BP9</f>
        <v>1.9121489515226964E-2</v>
      </c>
      <c r="BR9" s="53">
        <f t="shared" ref="BR9:BR22" si="144">IF(BQ9&gt;0,$G9*$I9*(($H$23+$L$23+$Q$23+$W$23+$AC$23+$AI$23+$AO$23+$AU$23+$BA$23+$BG$23+$BM$23)/$G$23)*BQ9,0)</f>
        <v>110455.84476773813</v>
      </c>
      <c r="BS9" s="127">
        <f t="shared" ref="BS9:BS22" si="145">IF((BN$23-BR$23)&gt;0,BR9,BN$23*BR9/BR$23)</f>
        <v>0</v>
      </c>
      <c r="BT9" s="75" t="s">
        <v>8</v>
      </c>
      <c r="BU9" s="48" t="s">
        <v>8</v>
      </c>
      <c r="BV9" s="52">
        <f t="shared" ref="BV9:BV22" si="146">(((H9+L9+Q9+W9+AC9+AI9+AO9+AU9+BA9+BG9+BM9+BS9)/G9)/$J$23)/I9</f>
        <v>0.65197753369909339</v>
      </c>
      <c r="BW9" s="51">
        <f t="shared" ref="BW9:BW22" si="147">BU$23-BV9</f>
        <v>1.9121489515226964E-2</v>
      </c>
      <c r="BX9" s="53">
        <f t="shared" ref="BX9:BX22" si="148">IF(BW9&gt;0,$G9*$I9*(($H$23+$L$23+$Q$23+$W$23+$AC$23+$AI$23+$AO$23+$AU$23+$BA$23+$BG$23+$BM$23+$BS$23)/$G$23)*BW9,0)</f>
        <v>110455.84476773813</v>
      </c>
      <c r="BY9" s="127">
        <f t="shared" ref="BY9:BY22" si="149">IF((BT$23-BX$23)&gt;0,BX9,BT$23*BX9/BX$23)</f>
        <v>0</v>
      </c>
      <c r="BZ9" s="75" t="s">
        <v>8</v>
      </c>
      <c r="CA9" s="48" t="s">
        <v>8</v>
      </c>
      <c r="CB9" s="52">
        <f t="shared" ref="CB9:CB22" si="150">(((H9+L9+Q9+W9+AC9+AI9+AO9+AU9+BA9+BG9+BM9+BS9+BY9)/G9)/$J$23)/I9</f>
        <v>0.65197753369909339</v>
      </c>
      <c r="CC9" s="51">
        <f t="shared" ref="CC9:CC22" si="151">CA$23-CB9</f>
        <v>1.9121489515226964E-2</v>
      </c>
      <c r="CD9" s="53">
        <f t="shared" ref="CD9:CD22" si="152">IF(CC9&gt;0,$G9*$I9*(($H$23+$L$23+$Q$23+$W$23+$AC$23+$AI$23+$AO$23+$AU$23+$BA$23+$BG$23+$BM$23+$BS$23+$BY$23)/$G$23)*CC9,0)</f>
        <v>110455.84476773813</v>
      </c>
      <c r="CE9" s="127">
        <f t="shared" ref="CE9:CE22" si="153">IF((BZ$23-CD$23)&gt;0,CD9,BZ$23*CD9/CD$23)</f>
        <v>0</v>
      </c>
      <c r="CF9" s="75" t="s">
        <v>8</v>
      </c>
      <c r="CG9" s="48" t="s">
        <v>8</v>
      </c>
      <c r="CH9" s="52">
        <f t="shared" ref="CH9:CH22" si="154">(((H9+L9+Q9+W9+AC9+AI9+AO9+AU9+BA9+BG9+BM9+BS9+BY9+CE9)/G9)/$J$23)/I9</f>
        <v>0.65197753369909339</v>
      </c>
      <c r="CI9" s="51">
        <f t="shared" ref="CI9:CI22" si="155">CG$23-CH9</f>
        <v>1.9121489515226964E-2</v>
      </c>
      <c r="CJ9" s="53">
        <f t="shared" ref="CJ9:CJ22" si="156">IF(CI9&gt;0,$G9*$I9*(($H$23+$L$23+$Q$23+$W$23+$AC$23+$AI$23+$AO$23+$AU$23+$BA$23+$BG$23+$BM$23+$BS$23+$BY$23+$CE$23)/$G$23)*CI9,0)</f>
        <v>110455.84476773813</v>
      </c>
      <c r="CK9" s="127">
        <f t="shared" ref="CK9:CK22" si="157">IF((CF$23-CJ$23)&gt;0,CJ9,CF$23*CJ9/CJ$23)</f>
        <v>0</v>
      </c>
      <c r="CL9" s="75" t="s">
        <v>8</v>
      </c>
      <c r="CM9" s="48" t="s">
        <v>8</v>
      </c>
      <c r="CN9" s="52">
        <f t="shared" ref="CN9:CN22" si="158">(((H9+L9+Q9+W9+AC9+AI9+AO9+AU9+BA9+BG9+BM9+BS9+BY9+CE9+CK9)/G9)/$J$23)/I9</f>
        <v>0.65197753369909339</v>
      </c>
      <c r="CO9" s="51">
        <f t="shared" ref="CO9:CO22" si="159">CM$23-CN9</f>
        <v>1.9121489515226964E-2</v>
      </c>
      <c r="CP9" s="53">
        <f t="shared" ref="CP9:CP22" si="160">IF(CO9&gt;0,$G9*$I9*(($H$23+$L$23+$Q$23+$W$23+$AC$23+$AI$23+$AO$23+$AU$23+$BA$23+$BG$23+$BM$23+$BS$23+$BY$23+$CE$23+$CK$23)/$G$23)*CO9,0)</f>
        <v>110455.84476773813</v>
      </c>
      <c r="CQ9" s="127">
        <f t="shared" ref="CQ9:CQ22" si="161">IF((CL$23-CP$23)&gt;0,CP9,CL$23*CP9/CP$23)</f>
        <v>0</v>
      </c>
      <c r="CR9" s="75" t="s">
        <v>8</v>
      </c>
      <c r="CS9" s="48" t="s">
        <v>8</v>
      </c>
      <c r="CT9" s="52">
        <f t="shared" ref="CT9:CT22" si="162">(((H9+L9+Q9+W9+AC9+AI9+AO9+AU9+BA9+BG9+BM9+BS9+BY9+CE9+CK9+CQ9)/G9)/$J$23)/I9</f>
        <v>0.65197753369909339</v>
      </c>
      <c r="CU9" s="51">
        <f t="shared" ref="CU9:CU22" si="163">CS$23-CT9</f>
        <v>1.9121489515226964E-2</v>
      </c>
      <c r="CV9" s="53">
        <f t="shared" ref="CV9:CV22" si="164">IF(CU9&gt;0,$G9*$I9*(($H$23+$L$23+$Q$23+$W$23+$AC$23+$AI$23+$AO$23+$AU$23+$BA$23+$BG$23+$BM$23+$BS$23+$BY$23+$CE$23+$CK$23+$CQ$23)/$G$23)*CU9,0)</f>
        <v>110455.84476773813</v>
      </c>
      <c r="CW9" s="127">
        <f t="shared" ref="CW9:CW22" si="165">IF((CR$23-CV$23)&gt;0,CV9,CR$23*CV9/CV$23)</f>
        <v>0</v>
      </c>
      <c r="CX9" s="75" t="s">
        <v>8</v>
      </c>
      <c r="CY9" s="48" t="s">
        <v>8</v>
      </c>
      <c r="CZ9" s="52">
        <f t="shared" ref="CZ9:CZ22" si="166">(((H9+L9+Q9+W9+AC9+AI9+AO9+AU9+BA9+BG9+BM9+BS9+BY9+CE9+CK9+CQ9+CW9)/G9)/$J$23)/I9</f>
        <v>0.65197753369909339</v>
      </c>
      <c r="DA9" s="51">
        <f t="shared" ref="DA9:DA22" si="167">CY$23-CZ9</f>
        <v>1.9121489515226964E-2</v>
      </c>
      <c r="DB9" s="53">
        <f t="shared" ref="DB9:DB22" si="168">IF(DA9&gt;0,$G9*$I9*(($H$23+$L$23+$Q$23+$W$23+$AC$23+$AI$23+$AO$23+$AU$23+$BA$23+$BG$23+$BM$23+$BS$23+$BY$23+$CE$23+$CK$23+$CQ$23+$CW$23)/$G$23)*DA9,0)</f>
        <v>110455.84476773813</v>
      </c>
      <c r="DC9" s="127">
        <f t="shared" ref="DC9:DC22" si="169">IF((CX$23-DB$23)&gt;0,DB9,CX$23*DB9/DB$23)</f>
        <v>0</v>
      </c>
      <c r="DD9" s="75" t="s">
        <v>8</v>
      </c>
      <c r="DE9" s="48" t="s">
        <v>8</v>
      </c>
      <c r="DF9" s="52">
        <f t="shared" ref="DF9:DF22" si="170">(((H9+L9+Q9+W9+AC9+AI9+AO9+AU9+BA9+BG9+BM9+BS9+BY9+CE9+CK9+CQ9+CW9+DC9)/G9)/$J$23)/I9</f>
        <v>0.65197753369909339</v>
      </c>
      <c r="DG9" s="51">
        <f t="shared" ref="DG9:DG22" si="171">DE$23-DF9</f>
        <v>1.9121489515226964E-2</v>
      </c>
      <c r="DH9" s="53">
        <f t="shared" ref="DH9:DH22" si="172">IF(DG9&gt;0,$G9*$I9*(($H$23+$L$23+$Q$23+$W$23+$AC$23+$AI$23+$AO$23+$AU$23+$BA$23+$BG$23+$BM$23+$BS$23+$BY$23+$CE$23+$CK$23+$CQ$23+$CW$23+$DC$23)/$G$23)*DG9,0)</f>
        <v>110455.84476773813</v>
      </c>
      <c r="DI9" s="127">
        <f t="shared" ref="DI9:DI22" si="173">IF((DD$23-DH$23)&gt;0,DH9,DD$23*DH9/DH$23)</f>
        <v>0</v>
      </c>
      <c r="DJ9" s="75" t="s">
        <v>8</v>
      </c>
      <c r="DK9" s="48" t="s">
        <v>8</v>
      </c>
      <c r="DL9" s="52">
        <f t="shared" ref="DL9:DL22" si="174">(((H9+L9+Q9+W9+AC9+AI9+AO9+AU9+BA9+BG9+BM9+BS9+BY9+CE9+CK9+CQ9+CW9+DC9+DI9)/G9)/$J$23)/I9</f>
        <v>0.65197753369909339</v>
      </c>
      <c r="DM9" s="51">
        <f t="shared" ref="DM9:DM22" si="175">DK$23-DL9</f>
        <v>1.9121489515226964E-2</v>
      </c>
      <c r="DN9" s="53">
        <f t="shared" ref="DN9:DN22" si="176">IF(DM9&gt;0,$G9*$I9*(($H$23+$L$23+$Q$23+$W$23+$AC$23+$AI$23+$AO$23+$AU$23+$BA$23+$BG$23+$BM$23+$BS$23+$BY$23+$CE$23+$CK$23+$CQ$23+$CW$23+$DC$23+$DI$23)/$G$23)*DM9,0)</f>
        <v>110455.84476773813</v>
      </c>
      <c r="DO9" s="127">
        <f t="shared" ref="DO9:DO22" si="177">IF((DJ$23-DN$23)&gt;0,DN9,DJ$23*DN9/DN$23)</f>
        <v>0</v>
      </c>
      <c r="DP9" s="75" t="s">
        <v>8</v>
      </c>
      <c r="DQ9" s="48" t="s">
        <v>8</v>
      </c>
      <c r="DR9" s="52">
        <f t="shared" ref="DR9:DR22" si="178">(((H9+L9+Q9+W9+AC9+AI9+AO9+AU9+BA9+BG9+BM9+BS9+BY9+CE9+CK9+CQ9+CW9+DC9+DI9+DO9)/G9)/$J$23)/I9</f>
        <v>0.65197753369909339</v>
      </c>
      <c r="DS9" s="51">
        <f t="shared" ref="DS9:DS22" si="179">DQ$23-DR9</f>
        <v>1.9121489515226964E-2</v>
      </c>
      <c r="DT9" s="53">
        <f t="shared" ref="DT9:DT22" si="180">IF(DS9&gt;0,$G9*$I9*(($H$23+$L$23+$Q$23+$W$23+$AC$23+$AI$23+$AO$23+$AU$23+$BA$23+$BG$23+$BM$23+$BS$23+$BY$23+$CE$23+$CK$23+$CQ$23+$CW$23+$DC$23+$DI$23+$DO$23)/$G$23)*DS9,0)</f>
        <v>110455.84476773813</v>
      </c>
      <c r="DU9" s="127">
        <f t="shared" ref="DU9:DU22" si="181">IF((DP$23-DT$23)&gt;0,DT9,DP$23*DT9/DT$23)</f>
        <v>0</v>
      </c>
      <c r="DV9" s="182" t="s">
        <v>8</v>
      </c>
      <c r="DW9" s="172" t="s">
        <v>8</v>
      </c>
      <c r="DX9" s="186">
        <f t="shared" ref="DX9:DX22" si="182">((($H9+$L9+$Q9+$W9+$AC9+$AI9+$AO9+$AU9+$BA9+$BG9+$BM9+$BS9+$BY9+$CE9+$CK9+$CQ9+$CW9+$DC9+$DI9+$DO9+$DU9)/$G9)/$J$23)/$I9</f>
        <v>0.65197753369909339</v>
      </c>
      <c r="DY9" s="173">
        <f t="shared" ref="DY9:DY22" si="183">DW$23-DX9</f>
        <v>1.9121489515226964E-2</v>
      </c>
      <c r="DZ9" s="34">
        <f t="shared" ref="DZ9:DZ22" si="184">IF(DY9&gt;0,$G9*$I9*(($H$23+$L$23+$Q$23+$W$23+$AC$23+$AI$23+$AO$23+$AU$23+$BA$23+$BG$23+$BM$23+$BS$23+$BY$23+$CE$23+$CK$23+$CQ$23+$CW$23+$DC$23+$DI$23+$DO$23+$DU$23)/$G$23)*DY9,0)</f>
        <v>110455.84476773813</v>
      </c>
      <c r="EA9" s="174">
        <f t="shared" ref="EA9:EA22" si="185">IF((DV$23-DZ$23)&gt;0,DZ9,DV$23*DZ9/DZ$23)</f>
        <v>0</v>
      </c>
      <c r="EB9" s="182" t="s">
        <v>8</v>
      </c>
      <c r="EC9" s="172" t="s">
        <v>8</v>
      </c>
      <c r="ED9" s="186">
        <f t="shared" ref="ED9:ED22" si="186">((($H9+$L9+$Q9+$W9+$AC9+$AI9+$AO9+$AU9+$BA9+$BG9+$BM9+$BS9+$BY9+$CE9+$CK9+$CQ9+$CW9+$DC9+$DI9+$DO9+$DU9+$EA9)/$G9)/$J$23)/$I9</f>
        <v>0.65197753369909339</v>
      </c>
      <c r="EE9" s="173">
        <f t="shared" ref="EE9:EE22" si="187">EC$23-ED9</f>
        <v>1.9121489515226964E-2</v>
      </c>
      <c r="EF9" s="34">
        <f t="shared" ref="EF9:EF22" si="188">IF(EE9&gt;0,$G9*$I9*(($H$23+$L$23+$Q$23+$W$23+$AC$23+$AI$23+$AO$23+$AU$23+$BA$23+$BG$23+$BM$23+$BS$23+$BY$23+$CE$23+$CK$23+$CQ$23+$CW$23+$DC$23+$DI$23+$DO$23+$DU$23+$EA$23)/$G$23)*EE9,0)</f>
        <v>110455.84476773813</v>
      </c>
      <c r="EG9" s="174">
        <f t="shared" ref="EG9:EG22" si="189">IF((EB$23-EF$23)&gt;0,EF9,EB$23*EF9/EF$23)</f>
        <v>0</v>
      </c>
      <c r="EH9" s="182" t="s">
        <v>8</v>
      </c>
      <c r="EI9" s="172" t="s">
        <v>8</v>
      </c>
      <c r="EJ9" s="186">
        <f t="shared" ref="EJ9:EJ22" si="190">((($H9+$L9+$Q9+$W9+$AC9+$AI9+$AO9+$AU9+$BA9+$BG9+$BM9+$BS9+$BY9+$CE9+$CK9+$CQ9+$CW9+$DC9+$DI9+$DO9+$DU9+$EA9+$EG9)/$G9)/$J$23)/$I9</f>
        <v>0.65197753369909339</v>
      </c>
      <c r="EK9" s="173">
        <f t="shared" ref="EK9:EK22" si="191">EI$23-EJ9</f>
        <v>1.9121489515226964E-2</v>
      </c>
      <c r="EL9" s="34">
        <f t="shared" ref="EL9:EL22" si="192">IF(EK9&gt;0,$G9*$I9*(($H$23+$L$23+$Q$23+$W$23+$AC$23+$AI$23+$AO$23+$AU$23+$BA$23+$BG$23+$BM$23+$BS$23+$BY$23+$CE$23+$CK$23+$CQ$23+$CW$23+$DC$23+$DI$23+$DO$23+$DU$23+$EA$23+$EG$23)/$G$23)*EK9,0)</f>
        <v>110455.84476773813</v>
      </c>
      <c r="EM9" s="174">
        <f t="shared" ref="EM9:EM22" si="193">IF((EH$23-EL$23)&gt;0,EL9,EH$23*EL9/EL$23)</f>
        <v>0</v>
      </c>
      <c r="EN9" s="75" t="s">
        <v>8</v>
      </c>
      <c r="EO9" s="48" t="s">
        <v>8</v>
      </c>
      <c r="EP9" s="187">
        <f t="shared" ref="EP9:EP22" si="194">((($H9+$L9+$Q9+$W9+$AC9+$AI9+$AO9+$AU9+$BA9+$BG9+$BM9+$BS9+$BY9+$CE9+$CK9+$CQ9+$CW9+$DC9+$DI9+$DO9+$DU9+$EA9+$EG9+$EM9)/$G9)/$J$23)/$I9</f>
        <v>0.65197753369909339</v>
      </c>
      <c r="EQ9" s="51">
        <f t="shared" ref="EQ9:EQ22" si="195">EO$23-EP9</f>
        <v>1.9121489515226964E-2</v>
      </c>
      <c r="ER9" s="53">
        <f t="shared" ref="ER9:ER22" si="196">IF(EQ9&gt;0,$G9*$I9*(($H$23+$L$23+$Q$23+$W$23+$AC$23+$AI$23+$AO$23+$AU$23+$BA$23+$BG$23+$BM$23+$BS$23+$BY$23+$CE$23+$CK$23+$CQ$23+$CW$23+$DC$23+$DI$23+$DO$23+$DU$23+$EA$23+$EG$23+$EM$23)/$G$23)*EQ9,0)</f>
        <v>110455.84476773813</v>
      </c>
      <c r="ES9" s="79">
        <f t="shared" ref="ES9:ES22" si="197">IF((EN$23-ER$23)&gt;0,ER9,EN$23*ER9/ER$23)</f>
        <v>0</v>
      </c>
      <c r="ET9" s="182" t="s">
        <v>8</v>
      </c>
      <c r="EU9" s="172" t="s">
        <v>8</v>
      </c>
      <c r="EV9" s="186">
        <f t="shared" ref="EV9:EV22" si="198">((($H9+$L9+$Q9+$W9+$AC9+$AI9+$AO9+$AU9+$BA9+$BG9+$BM9+$BS9+$BY9+$CE9+$CK9+$CQ9+$CW9+$DC9+$DI9+$DO9+$DU9+$EA9+$EG9+$EM9+$ES9)/$G9)/$J$23)/$I9</f>
        <v>0.65197753369909339</v>
      </c>
      <c r="EW9" s="173">
        <f t="shared" ref="EW9:EW22" si="199">EU$23-EV9</f>
        <v>1.9121489515226964E-2</v>
      </c>
      <c r="EX9" s="34">
        <f t="shared" ref="EX9:EX22" si="200">IF(EW9&gt;0,$G9*$I9*(($H$23+$L$23+$Q$23+$W$23+$AC$23+$AI$23+$AO$23+$AU$23+$BA$23+$BG$23+$BM$23+$BS$23+$BY$23+$CE$23+$CK$23+$CQ$23+$CW$23+$DC$23+$DI$23+$DO$23+$DU$23+$EA$23+$EG$23+$EM$23+$ES$23)/$G$23)*EW9,0)</f>
        <v>110455.84476773813</v>
      </c>
      <c r="EY9" s="174">
        <f t="shared" ref="EY9:EY22" si="201">IF((ET$23-EX$23)&gt;0,EX9,ET$23*EX9/EX$23)</f>
        <v>0</v>
      </c>
      <c r="EZ9" s="182" t="s">
        <v>8</v>
      </c>
      <c r="FA9" s="172" t="s">
        <v>8</v>
      </c>
      <c r="FB9" s="186">
        <f t="shared" ref="FB9:FB22" si="202">((($H9+$L9+$Q9+$W9+$AC9+$AI9+$AO9+$AU9+$BA9+$BG9+$BM9+$BS9+$BY9+$CE9+$CK9+$CQ9+$CW9+$DC9+$DI9+$DO9+$DU9+$EA9+$EG9+$EM9+$ES9+$EY9)/$G9)/$J$23)/$I9</f>
        <v>0.65197753369909339</v>
      </c>
      <c r="FC9" s="173">
        <f t="shared" ref="FC9:FC22" si="203">FA$23-FB9</f>
        <v>1.9121489515226964E-2</v>
      </c>
      <c r="FD9" s="34">
        <f t="shared" ref="FD9:FD22" si="204">IF(FC9&gt;0,$G9*$I9*(($H$23+$L$23+$Q$23+$W$23+$AC$23+$AI$23+$AO$23+$AU$23+$BA$23+$BG$23+$BM$23+$BS$23+$BY$23+$CE$23+$CK$23+$CQ$23+$CW$23+$DC$23+$DI$23+$DO$23+$DU$23+$EA$23+$EG$23+$EM$23+$ES$23+$EY$23)/$G$23)*FC9,0)</f>
        <v>110455.84476773813</v>
      </c>
      <c r="FE9" s="174">
        <f t="shared" ref="FE9:FE22" si="205">IF((EZ$23-FD$23)&gt;0,FD9,EZ$23*FD9/FD$23)</f>
        <v>0</v>
      </c>
      <c r="FF9" s="182" t="s">
        <v>8</v>
      </c>
      <c r="FG9" s="172" t="s">
        <v>8</v>
      </c>
      <c r="FH9" s="186">
        <f t="shared" ref="FH9:FH22" si="206">((($H9+$L9+$Q9+$W9+$AC9+$AI9+$AO9+$AU9+$BA9+$BG9+$BM9+$BS9+$BY9+$CE9+$CK9+$CQ9+$CW9+$DC9+$DI9+$DO9+$DU9+$EA9+$EG9+$EM9+$ES9+$EY9+$FE9)/$G9)/$J$23)/$I9</f>
        <v>0.65197753369909339</v>
      </c>
      <c r="FI9" s="173">
        <f t="shared" ref="FI9:FI22" si="207">FG$23-FH9</f>
        <v>1.9121489515226964E-2</v>
      </c>
      <c r="FJ9" s="34">
        <f t="shared" ref="FJ9:FJ22" si="208">IF(FI9&gt;0,$G9*$I9*(($H$23+$L$23+$Q$23+$W$23+$AC$23+$AI$23+$AO$23+$AU$23+$BA$23+$BG$23+$BM$23+$BS$23+$BY$23+$CE$23+$CK$23+$CQ$23+$CW$23+$DC$23+$DI$23+$DO$23+$DU$23+$EA$23+$EG$23+$EM$23+$ES$23+$EY$23+$FE$23)/$G$23)*FI9,0)</f>
        <v>110455.84476773813</v>
      </c>
      <c r="FK9" s="174">
        <f t="shared" ref="FK9:FK22" si="209">IF((FF$23-FJ$23)&gt;0,FJ9,FF$23*FJ9/FJ$23)</f>
        <v>0</v>
      </c>
      <c r="FL9" s="182" t="s">
        <v>8</v>
      </c>
      <c r="FM9" s="172" t="s">
        <v>8</v>
      </c>
      <c r="FN9" s="186">
        <f t="shared" ref="FN9:FN22" si="210">((($H9+$L9+$Q9+$W9+$AC9+$AI9+$AO9+$AU9+$BA9+$BG9+$BM9+$BS9+$BY9+$CE9+$CK9+$CQ9+$CW9+$DC9+$DI9+$DO9+$DU9+$EA9+$EG9+$EM9+$ES9+$EY9+$FE9+$FK9)/$G9)/$J$23)/$I9</f>
        <v>0.65197753369909339</v>
      </c>
      <c r="FO9" s="173">
        <f t="shared" ref="FO9:FO22" si="211">FM$23-FN9</f>
        <v>1.9121489515226964E-2</v>
      </c>
      <c r="FP9" s="34">
        <f t="shared" ref="FP9:FP22" si="212">IF(FO9&gt;0,$G9*$I9*(($H$23+$L$23+$Q$23+$W$23+$AC$23+$AI$23+$AO$23+$AU$23+$BA$23+$BG$23+$BM$23+$BS$23+$BY$23+$CE$23+$CK$23+$CQ$23+$CW$23+$DC$23+$DI$23+$DO$23+$DU$23+$EA$23+$EG$23+$EM$23+$ES$23+$EY$23+$FE$23+$FK$23)/$G$23)*FO9,0)</f>
        <v>110455.84476773813</v>
      </c>
      <c r="FQ9" s="174">
        <f t="shared" ref="FQ9:FQ22" si="213">IF((FL$23-FP$23)&gt;0,FP9,FL$23*FP9/FP$23)</f>
        <v>0</v>
      </c>
      <c r="FR9" s="182" t="s">
        <v>8</v>
      </c>
      <c r="FS9" s="172" t="s">
        <v>8</v>
      </c>
      <c r="FT9" s="186">
        <f t="shared" ref="FT9:FT22" si="214">((($H9+$L9+$Q9+$W9+$AC9+$AI9+$AO9+$AU9+$BA9+$BG9+$BM9+$BS9+$BY9+$CE9+$CK9+$CQ9+$CW9+$DC9+$DI9+$DO9+$DU9+$EA9+$EG9+$EM9+$ES9+$EY9+$FE9+$FK9+$FQ9)/$G9)/$J$23)/$I9</f>
        <v>0.65197753369909339</v>
      </c>
      <c r="FU9" s="173">
        <f t="shared" ref="FU9:FU22" si="215">FS$23-FT9</f>
        <v>1.9121489515226964E-2</v>
      </c>
      <c r="FV9" s="34">
        <f t="shared" ref="FV9:FV22" si="216">IF(FU9&gt;0,$G9*$I9*(($H$23+$L$23+$Q$23+$W$23+$AC$23+$AI$23+$AO$23+$AU$23+$BA$23+$BG$23+$BM$23+$BS$23+$BY$23+$CE$23+$CK$23+$CQ$23+$CW$23+$DC$23+$DI$23+$DO$23+$DU$23+$EA$23+$EG$23+$EM$23+$ES$23+$EY$23+$FE$23+$FK$23+$FQ$23)/$G$23)*FU9,0)</f>
        <v>110455.84476773813</v>
      </c>
      <c r="FW9" s="174">
        <f t="shared" ref="FW9:FW22" si="217">IF((FR$23-FV$23)&gt;0,FV9,FR$23*FV9/FV$23)</f>
        <v>0</v>
      </c>
      <c r="FX9" s="182" t="s">
        <v>8</v>
      </c>
      <c r="FY9" s="172" t="s">
        <v>8</v>
      </c>
      <c r="FZ9" s="186">
        <f t="shared" ref="FZ9:FZ22" si="218">((($H9+$L9+$Q9+$W9+$AC9+$AI9+$AO9+$AU9+$BA9+$BG9+$BM9+$BS9+$BY9+$CE9+$CK9+$CQ9+$CW9+$DC9+$DI9+$DO9+$DU9+$EA9+$EG9+$EM9+$ES9+$EY9+$FE9+$FK9+$FQ9+$FW9)/$G9)/$J$23)/$I9</f>
        <v>0.65197753369909339</v>
      </c>
      <c r="GA9" s="173">
        <f t="shared" ref="GA9:GA22" si="219">FY$23-FZ9</f>
        <v>1.9121489515226964E-2</v>
      </c>
      <c r="GB9" s="34">
        <f t="shared" ref="GB9:GB22" si="220">IF(GA9&gt;0,$G9*$I9*(($H$23+$L$23+$Q$23+$W$23+$AC$23+$AI$23+$AO$23+$AU$23+$BA$23+$BG$23+$BM$23+$BS$23+$BY$23+$CE$23+$CK$23+$CQ$23+$CW$23+$DC$23+$DI$23+$DO$23+$DU$23+$EA$23+$EG$23+$EM$23+$ES$23+$EY$23+$FE$23+$FK$23+$FQ$23+$FW$23)/$G$23)*GA9,0)</f>
        <v>110455.84476773813</v>
      </c>
      <c r="GC9" s="174">
        <f t="shared" ref="GC9:GC22" si="221">IF((FX$23-GB$23)&gt;0,GB9,FX$23*GB9/GB$23)</f>
        <v>0</v>
      </c>
      <c r="GD9" s="182" t="s">
        <v>8</v>
      </c>
      <c r="GE9" s="172" t="s">
        <v>8</v>
      </c>
      <c r="GF9" s="186">
        <f t="shared" ref="GF9:GF22" si="222">((($H9+$L9+$Q9+$W9+$AC9+$AI9+$AO9+$AU9+$BA9+$BG9+$BM9+$BS9+$BY9+$CE9+$CK9+$CQ9+$CW9+$DC9+$DI9+$DO9+$DU9+$EA9+$EG9+$EM9+$ES9+$EY9+$FE9+$FK9+$FQ9+$FW9+$GC9)/$G9)/$J$23)/$I9</f>
        <v>0.65197753369909339</v>
      </c>
      <c r="GG9" s="173">
        <f t="shared" ref="GG9:GG22" si="223">GE$23-GF9</f>
        <v>1.9121489515226964E-2</v>
      </c>
      <c r="GH9" s="34">
        <f t="shared" ref="GH9:GH22" si="224">IF(GG9&gt;0,$G9*$I9*(($H$23+$L$23+$Q$23+$W$23+$AC$23+$AI$23+$AO$23+$AU$23+$BA$23+$BG$23+$BM$23+$BS$23+$BY$23+$CE$23+$CK$23+$CQ$23+$CW$23+$DC$23+$DI$23+$DO$23+$DU$23+$EA$23+$EG$23+$EM$23+$ES$23+$EY$23+$FE$23+$FK$23+$FQ$23+$FW$23+$GC$23)/$G$23)*GG9,0)</f>
        <v>110455.84476773813</v>
      </c>
      <c r="GI9" s="190">
        <f t="shared" ref="GI9:GI22" si="225">IF((GD$23-GH$23)&gt;0,GH9,GD$23*GH9/GH$23)</f>
        <v>0</v>
      </c>
      <c r="GJ9" s="188">
        <f>Q9+W9+AC9+AI9+AO9+AU9+BA9+BG9+BM9+BS9+BY9+CE9+CK9+CQ9+CW9+DC9+DI9+DO9+DU9+EA9+EG9+EM9+ES9+EY9+FE9+FK9+FQ9+FW9+GC9+GI9</f>
        <v>1281346.2445616953</v>
      </c>
      <c r="GK9" s="175">
        <f t="shared" ref="GK9:GK23" si="226">L9+GJ9</f>
        <v>1297843.8192731855</v>
      </c>
      <c r="GL9" s="216">
        <f t="shared" ref="GL9:GL22" si="227">K9+GK9/($H$23/$G$23)/G9/I9</f>
        <v>0.6519775336990935</v>
      </c>
      <c r="GM9" s="221">
        <f>ROUND(GK9,2)</f>
        <v>1297843.82</v>
      </c>
      <c r="GN9" s="209"/>
      <c r="GO9" s="232"/>
      <c r="GP9" s="212"/>
    </row>
    <row r="10" spans="1:198" s="25" customFormat="1" x14ac:dyDescent="0.25">
      <c r="A10" s="161" t="s">
        <v>175</v>
      </c>
      <c r="B10" s="164" t="s">
        <v>8</v>
      </c>
      <c r="C10" s="164" t="s">
        <v>8</v>
      </c>
      <c r="D10" s="164" t="s">
        <v>8</v>
      </c>
      <c r="E10" s="164" t="s">
        <v>8</v>
      </c>
      <c r="F10" s="164" t="s">
        <v>8</v>
      </c>
      <c r="G10" s="108">
        <f>'Исходные данные'!C12</f>
        <v>817</v>
      </c>
      <c r="H10" s="49">
        <f>'Исходные данные'!D12</f>
        <v>213654.74006230064</v>
      </c>
      <c r="I10" s="32">
        <f>'Расчет КРП'!G8</f>
        <v>5.6555578631499976</v>
      </c>
      <c r="J10" s="115" t="s">
        <v>8</v>
      </c>
      <c r="K10" s="119">
        <f t="shared" si="104"/>
        <v>3.7294733278815925E-2</v>
      </c>
      <c r="L10" s="77">
        <f t="shared" si="105"/>
        <v>187201.64637899314</v>
      </c>
      <c r="M10" s="73">
        <f t="shared" si="106"/>
        <v>6.9971918297149494E-2</v>
      </c>
      <c r="N10" s="30" t="s">
        <v>8</v>
      </c>
      <c r="O10" s="33">
        <f t="shared" si="107"/>
        <v>9.1155421442202539E-2</v>
      </c>
      <c r="P10" s="34">
        <f t="shared" si="108"/>
        <v>618721.77691976388</v>
      </c>
      <c r="Q10" s="80">
        <f t="shared" si="109"/>
        <v>618721.77691976388</v>
      </c>
      <c r="R10" s="169" t="s">
        <v>8</v>
      </c>
      <c r="S10" s="30" t="s">
        <v>8</v>
      </c>
      <c r="T10" s="35">
        <f t="shared" si="110"/>
        <v>0.17797356449179541</v>
      </c>
      <c r="U10" s="33">
        <f t="shared" si="111"/>
        <v>8.9105834637536963E-2</v>
      </c>
      <c r="V10" s="53">
        <f t="shared" si="112"/>
        <v>774575.79670302931</v>
      </c>
      <c r="W10" s="80">
        <f t="shared" si="113"/>
        <v>774575.79670302931</v>
      </c>
      <c r="X10" s="76" t="s">
        <v>8</v>
      </c>
      <c r="Y10" s="30" t="s">
        <v>8</v>
      </c>
      <c r="Z10" s="35">
        <f t="shared" si="114"/>
        <v>0.31318047697987011</v>
      </c>
      <c r="AA10" s="33">
        <f t="shared" si="115"/>
        <v>6.8155075624026507E-2</v>
      </c>
      <c r="AB10" s="53">
        <f t="shared" si="116"/>
        <v>740838.36335985223</v>
      </c>
      <c r="AC10" s="80">
        <f t="shared" si="117"/>
        <v>740838.36335985223</v>
      </c>
      <c r="AD10" s="76" t="s">
        <v>8</v>
      </c>
      <c r="AE10" s="30" t="s">
        <v>8</v>
      </c>
      <c r="AF10" s="35">
        <f t="shared" si="118"/>
        <v>0.44249831545218121</v>
      </c>
      <c r="AG10" s="33">
        <f t="shared" si="119"/>
        <v>5.2803849833731265E-2</v>
      </c>
      <c r="AH10" s="53">
        <f t="shared" si="120"/>
        <v>686725.88010985591</v>
      </c>
      <c r="AI10" s="80">
        <f t="shared" si="121"/>
        <v>686725.88010985591</v>
      </c>
      <c r="AJ10" s="76" t="s">
        <v>8</v>
      </c>
      <c r="AK10" s="30" t="s">
        <v>8</v>
      </c>
      <c r="AL10" s="35">
        <f t="shared" si="122"/>
        <v>0.56237049112630422</v>
      </c>
      <c r="AM10" s="33">
        <f t="shared" si="123"/>
        <v>3.4790369438961188E-2</v>
      </c>
      <c r="AN10" s="53">
        <f t="shared" si="124"/>
        <v>519830.0333445851</v>
      </c>
      <c r="AO10" s="80">
        <f t="shared" si="125"/>
        <v>470997.58736143005</v>
      </c>
      <c r="AP10" s="76" t="s">
        <v>8</v>
      </c>
      <c r="AQ10" s="30" t="s">
        <v>8</v>
      </c>
      <c r="AR10" s="35">
        <f t="shared" si="126"/>
        <v>0.64458598229906394</v>
      </c>
      <c r="AS10" s="33">
        <f t="shared" si="127"/>
        <v>2.6513040915256414E-2</v>
      </c>
      <c r="AT10" s="53">
        <f t="shared" si="128"/>
        <v>432589.83655236184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0.64458598229906394</v>
      </c>
      <c r="AY10" s="33">
        <f t="shared" si="131"/>
        <v>2.6513040915256414E-2</v>
      </c>
      <c r="AZ10" s="53">
        <f t="shared" si="132"/>
        <v>432589.83655236184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0.64458598229906394</v>
      </c>
      <c r="BE10" s="33">
        <f t="shared" si="135"/>
        <v>2.6513040915256414E-2</v>
      </c>
      <c r="BF10" s="53">
        <f t="shared" si="136"/>
        <v>432589.83655236184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0.64458598229906394</v>
      </c>
      <c r="BK10" s="33">
        <f t="shared" si="139"/>
        <v>2.6513040915256414E-2</v>
      </c>
      <c r="BL10" s="53">
        <f t="shared" si="140"/>
        <v>432589.83655236184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0.64458598229906394</v>
      </c>
      <c r="BQ10" s="33">
        <f t="shared" si="143"/>
        <v>2.6513040915256414E-2</v>
      </c>
      <c r="BR10" s="53">
        <f t="shared" si="144"/>
        <v>432589.83655236184</v>
      </c>
      <c r="BS10" s="128">
        <f t="shared" si="145"/>
        <v>0</v>
      </c>
      <c r="BT10" s="76" t="s">
        <v>8</v>
      </c>
      <c r="BU10" s="30" t="s">
        <v>8</v>
      </c>
      <c r="BV10" s="35">
        <f t="shared" si="146"/>
        <v>0.64458598229906394</v>
      </c>
      <c r="BW10" s="33">
        <f t="shared" si="147"/>
        <v>2.6513040915256414E-2</v>
      </c>
      <c r="BX10" s="53">
        <f t="shared" si="148"/>
        <v>432589.83655236184</v>
      </c>
      <c r="BY10" s="128">
        <f t="shared" si="149"/>
        <v>0</v>
      </c>
      <c r="BZ10" s="76" t="s">
        <v>8</v>
      </c>
      <c r="CA10" s="30" t="s">
        <v>8</v>
      </c>
      <c r="CB10" s="35">
        <f t="shared" si="150"/>
        <v>0.64458598229906394</v>
      </c>
      <c r="CC10" s="33">
        <f t="shared" si="151"/>
        <v>2.6513040915256414E-2</v>
      </c>
      <c r="CD10" s="53">
        <f t="shared" si="152"/>
        <v>432589.83655236184</v>
      </c>
      <c r="CE10" s="128">
        <f t="shared" si="153"/>
        <v>0</v>
      </c>
      <c r="CF10" s="76" t="s">
        <v>8</v>
      </c>
      <c r="CG10" s="30" t="s">
        <v>8</v>
      </c>
      <c r="CH10" s="35">
        <f t="shared" si="154"/>
        <v>0.64458598229906394</v>
      </c>
      <c r="CI10" s="33">
        <f t="shared" si="155"/>
        <v>2.6513040915256414E-2</v>
      </c>
      <c r="CJ10" s="53">
        <f t="shared" si="156"/>
        <v>432589.83655236184</v>
      </c>
      <c r="CK10" s="128">
        <f t="shared" si="157"/>
        <v>0</v>
      </c>
      <c r="CL10" s="76" t="s">
        <v>8</v>
      </c>
      <c r="CM10" s="30" t="s">
        <v>8</v>
      </c>
      <c r="CN10" s="35">
        <f t="shared" si="158"/>
        <v>0.64458598229906394</v>
      </c>
      <c r="CO10" s="33">
        <f t="shared" si="159"/>
        <v>2.6513040915256414E-2</v>
      </c>
      <c r="CP10" s="53">
        <f t="shared" si="160"/>
        <v>432589.83655236184</v>
      </c>
      <c r="CQ10" s="128">
        <f t="shared" si="161"/>
        <v>0</v>
      </c>
      <c r="CR10" s="76" t="s">
        <v>8</v>
      </c>
      <c r="CS10" s="30" t="s">
        <v>8</v>
      </c>
      <c r="CT10" s="35">
        <f t="shared" si="162"/>
        <v>0.64458598229906394</v>
      </c>
      <c r="CU10" s="33">
        <f t="shared" si="163"/>
        <v>2.6513040915256414E-2</v>
      </c>
      <c r="CV10" s="53">
        <f t="shared" si="164"/>
        <v>432589.83655236184</v>
      </c>
      <c r="CW10" s="128">
        <f t="shared" si="165"/>
        <v>0</v>
      </c>
      <c r="CX10" s="76" t="s">
        <v>8</v>
      </c>
      <c r="CY10" s="30" t="s">
        <v>8</v>
      </c>
      <c r="CZ10" s="35">
        <f t="shared" si="166"/>
        <v>0.64458598229906394</v>
      </c>
      <c r="DA10" s="33">
        <f t="shared" si="167"/>
        <v>2.6513040915256414E-2</v>
      </c>
      <c r="DB10" s="53">
        <f t="shared" si="168"/>
        <v>432589.83655236184</v>
      </c>
      <c r="DC10" s="128">
        <f t="shared" si="169"/>
        <v>0</v>
      </c>
      <c r="DD10" s="76" t="s">
        <v>8</v>
      </c>
      <c r="DE10" s="30" t="s">
        <v>8</v>
      </c>
      <c r="DF10" s="35">
        <f t="shared" si="170"/>
        <v>0.64458598229906394</v>
      </c>
      <c r="DG10" s="33">
        <f t="shared" si="171"/>
        <v>2.6513040915256414E-2</v>
      </c>
      <c r="DH10" s="53">
        <f t="shared" si="172"/>
        <v>432589.83655236184</v>
      </c>
      <c r="DI10" s="128">
        <f t="shared" si="173"/>
        <v>0</v>
      </c>
      <c r="DJ10" s="76" t="s">
        <v>8</v>
      </c>
      <c r="DK10" s="30" t="s">
        <v>8</v>
      </c>
      <c r="DL10" s="35">
        <f t="shared" si="174"/>
        <v>0.64458598229906394</v>
      </c>
      <c r="DM10" s="33">
        <f t="shared" si="175"/>
        <v>2.6513040915256414E-2</v>
      </c>
      <c r="DN10" s="53">
        <f t="shared" si="176"/>
        <v>432589.83655236184</v>
      </c>
      <c r="DO10" s="128">
        <f t="shared" si="177"/>
        <v>0</v>
      </c>
      <c r="DP10" s="76" t="s">
        <v>8</v>
      </c>
      <c r="DQ10" s="30" t="s">
        <v>8</v>
      </c>
      <c r="DR10" s="35">
        <f t="shared" si="178"/>
        <v>0.64458598229906394</v>
      </c>
      <c r="DS10" s="33">
        <f t="shared" si="179"/>
        <v>2.6513040915256414E-2</v>
      </c>
      <c r="DT10" s="53">
        <f t="shared" si="180"/>
        <v>432589.83655236184</v>
      </c>
      <c r="DU10" s="128">
        <f t="shared" si="181"/>
        <v>0</v>
      </c>
      <c r="DV10" s="76" t="s">
        <v>8</v>
      </c>
      <c r="DW10" s="30" t="s">
        <v>8</v>
      </c>
      <c r="DX10" s="35">
        <f t="shared" si="182"/>
        <v>0.64458598229906394</v>
      </c>
      <c r="DY10" s="33">
        <f t="shared" si="183"/>
        <v>2.6513040915256414E-2</v>
      </c>
      <c r="DZ10" s="34">
        <f t="shared" si="184"/>
        <v>432589.83655236184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0.64458598229906394</v>
      </c>
      <c r="EE10" s="33">
        <f t="shared" si="187"/>
        <v>2.6513040915256414E-2</v>
      </c>
      <c r="EF10" s="34">
        <f t="shared" si="188"/>
        <v>432589.83655236184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0.64458598229906394</v>
      </c>
      <c r="EK10" s="33">
        <f t="shared" si="191"/>
        <v>2.6513040915256414E-2</v>
      </c>
      <c r="EL10" s="34">
        <f t="shared" si="192"/>
        <v>432589.83655236184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0.64458598229906394</v>
      </c>
      <c r="EQ10" s="33">
        <f t="shared" si="195"/>
        <v>2.6513040915256414E-2</v>
      </c>
      <c r="ER10" s="34">
        <f t="shared" si="196"/>
        <v>432589.83655236184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0.64458598229906394</v>
      </c>
      <c r="EW10" s="33">
        <f t="shared" si="199"/>
        <v>2.6513040915256414E-2</v>
      </c>
      <c r="EX10" s="34">
        <f t="shared" si="200"/>
        <v>432589.83655236184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0.64458598229906394</v>
      </c>
      <c r="FC10" s="33">
        <f t="shared" si="203"/>
        <v>2.6513040915256414E-2</v>
      </c>
      <c r="FD10" s="34">
        <f t="shared" si="204"/>
        <v>432589.83655236184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0.64458598229906394</v>
      </c>
      <c r="FI10" s="33">
        <f t="shared" si="207"/>
        <v>2.6513040915256414E-2</v>
      </c>
      <c r="FJ10" s="34">
        <f t="shared" si="208"/>
        <v>432589.83655236184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0.64458598229906394</v>
      </c>
      <c r="FO10" s="33">
        <f t="shared" si="211"/>
        <v>2.6513040915256414E-2</v>
      </c>
      <c r="FP10" s="34">
        <f t="shared" si="212"/>
        <v>432589.83655236184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0.64458598229906394</v>
      </c>
      <c r="FU10" s="33">
        <f t="shared" si="215"/>
        <v>2.6513040915256414E-2</v>
      </c>
      <c r="FV10" s="34">
        <f t="shared" si="216"/>
        <v>432589.83655236184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0.64458598229906394</v>
      </c>
      <c r="GA10" s="33">
        <f t="shared" si="219"/>
        <v>2.6513040915256414E-2</v>
      </c>
      <c r="GB10" s="34">
        <f t="shared" si="220"/>
        <v>432589.83655236184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0.64458598229906394</v>
      </c>
      <c r="GG10" s="33">
        <f t="shared" si="223"/>
        <v>2.6513040915256414E-2</v>
      </c>
      <c r="GH10" s="34">
        <f t="shared" si="224"/>
        <v>432589.83655236184</v>
      </c>
      <c r="GI10" s="128">
        <f t="shared" si="225"/>
        <v>0</v>
      </c>
      <c r="GJ10" s="176">
        <f t="shared" ref="GJ10:GJ22" si="228">Q10+W10+AC10+AI10+AO10+AU10+BA10+BG10+BM10+BS10+BY10+CE10+CK10+CQ10+CW10+DC10+DI10+DO10+DU10+EA10+EG10+EM10+ES10+EY10+FE10+FK10+FQ10+FW10+GC10+GI10</f>
        <v>3291859.4044539314</v>
      </c>
      <c r="GK10" s="99">
        <f t="shared" si="226"/>
        <v>3479061.0508329244</v>
      </c>
      <c r="GL10" s="217">
        <f t="shared" si="227"/>
        <v>0.64458598229906383</v>
      </c>
      <c r="GM10" s="221">
        <f t="shared" ref="GM10:GM22" si="229">ROUND(GK10,2)</f>
        <v>3479061.05</v>
      </c>
      <c r="GN10" s="209"/>
      <c r="GO10" s="232"/>
      <c r="GP10" s="212"/>
    </row>
    <row r="11" spans="1:198" s="25" customFormat="1" x14ac:dyDescent="0.25">
      <c r="A11" s="161" t="s">
        <v>176</v>
      </c>
      <c r="B11" s="164" t="s">
        <v>8</v>
      </c>
      <c r="C11" s="164" t="s">
        <v>8</v>
      </c>
      <c r="D11" s="164" t="s">
        <v>8</v>
      </c>
      <c r="E11" s="164" t="s">
        <v>8</v>
      </c>
      <c r="F11" s="164" t="s">
        <v>8</v>
      </c>
      <c r="G11" s="108">
        <f>'Исходные данные'!C13</f>
        <v>546</v>
      </c>
      <c r="H11" s="49">
        <f>'Исходные данные'!D13</f>
        <v>117814.13781763821</v>
      </c>
      <c r="I11" s="32">
        <f>'Расчет КРП'!G9</f>
        <v>4.5629077159399731</v>
      </c>
      <c r="J11" s="115" t="s">
        <v>8</v>
      </c>
      <c r="K11" s="119">
        <f t="shared" si="104"/>
        <v>3.8141306129916862E-2</v>
      </c>
      <c r="L11" s="77">
        <f t="shared" si="105"/>
        <v>125106.6082288008</v>
      </c>
      <c r="M11" s="73">
        <f t="shared" si="106"/>
        <v>7.8643486358204215E-2</v>
      </c>
      <c r="N11" s="30" t="s">
        <v>8</v>
      </c>
      <c r="O11" s="33">
        <f t="shared" si="107"/>
        <v>8.2483853381147818E-2</v>
      </c>
      <c r="P11" s="34">
        <f t="shared" si="108"/>
        <v>301869.10121590429</v>
      </c>
      <c r="Q11" s="80">
        <f t="shared" si="109"/>
        <v>301869.10121590429</v>
      </c>
      <c r="R11" s="169" t="s">
        <v>8</v>
      </c>
      <c r="S11" s="30" t="s">
        <v>8</v>
      </c>
      <c r="T11" s="35">
        <f t="shared" si="110"/>
        <v>0.17637099185046037</v>
      </c>
      <c r="U11" s="33">
        <f t="shared" si="111"/>
        <v>9.0708407278872E-2</v>
      </c>
      <c r="V11" s="53">
        <f t="shared" si="112"/>
        <v>425149.9600938037</v>
      </c>
      <c r="W11" s="80">
        <f t="shared" si="113"/>
        <v>425149.9600938037</v>
      </c>
      <c r="X11" s="76" t="s">
        <v>8</v>
      </c>
      <c r="Y11" s="30" t="s">
        <v>8</v>
      </c>
      <c r="Z11" s="35">
        <f t="shared" si="114"/>
        <v>0.31400960704076736</v>
      </c>
      <c r="AA11" s="33">
        <f t="shared" si="115"/>
        <v>6.7325945563129264E-2</v>
      </c>
      <c r="AB11" s="53">
        <f t="shared" si="116"/>
        <v>394588.60786295601</v>
      </c>
      <c r="AC11" s="80">
        <f t="shared" si="117"/>
        <v>394588.60786295601</v>
      </c>
      <c r="AD11" s="76" t="s">
        <v>8</v>
      </c>
      <c r="AE11" s="30" t="s">
        <v>8</v>
      </c>
      <c r="AF11" s="35">
        <f t="shared" si="118"/>
        <v>0.44175424929392776</v>
      </c>
      <c r="AG11" s="33">
        <f t="shared" si="119"/>
        <v>5.3547915991984718E-2</v>
      </c>
      <c r="AH11" s="53">
        <f t="shared" si="120"/>
        <v>375489.00283021567</v>
      </c>
      <c r="AI11" s="80">
        <f t="shared" si="121"/>
        <v>375489.00283021567</v>
      </c>
      <c r="AJ11" s="76" t="s">
        <v>8</v>
      </c>
      <c r="AK11" s="30" t="s">
        <v>8</v>
      </c>
      <c r="AL11" s="35">
        <f t="shared" si="122"/>
        <v>0.56331555993673543</v>
      </c>
      <c r="AM11" s="33">
        <f t="shared" si="123"/>
        <v>3.3845300628529973E-2</v>
      </c>
      <c r="AN11" s="53">
        <f t="shared" si="124"/>
        <v>272670.1043124806</v>
      </c>
      <c r="AO11" s="80">
        <f t="shared" si="125"/>
        <v>247055.67789238549</v>
      </c>
      <c r="AP11" s="76" t="s">
        <v>8</v>
      </c>
      <c r="AQ11" s="30" t="s">
        <v>8</v>
      </c>
      <c r="AR11" s="35">
        <f t="shared" si="126"/>
        <v>0.64329769464635156</v>
      </c>
      <c r="AS11" s="33">
        <f t="shared" si="127"/>
        <v>2.7801328567968797E-2</v>
      </c>
      <c r="AT11" s="53">
        <f t="shared" si="128"/>
        <v>244578.98680080203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0.64329769464635156</v>
      </c>
      <c r="AY11" s="33">
        <f t="shared" si="131"/>
        <v>2.7801328567968797E-2</v>
      </c>
      <c r="AZ11" s="53">
        <f t="shared" si="132"/>
        <v>244578.98680080203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0.64329769464635156</v>
      </c>
      <c r="BE11" s="33">
        <f t="shared" si="135"/>
        <v>2.7801328567968797E-2</v>
      </c>
      <c r="BF11" s="53">
        <f t="shared" si="136"/>
        <v>244578.98680080203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0.64329769464635156</v>
      </c>
      <c r="BK11" s="33">
        <f t="shared" si="139"/>
        <v>2.7801328567968797E-2</v>
      </c>
      <c r="BL11" s="53">
        <f t="shared" si="140"/>
        <v>244578.98680080203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0.64329769464635156</v>
      </c>
      <c r="BQ11" s="33">
        <f t="shared" si="143"/>
        <v>2.7801328567968797E-2</v>
      </c>
      <c r="BR11" s="53">
        <f t="shared" si="144"/>
        <v>244578.98680080203</v>
      </c>
      <c r="BS11" s="128">
        <f t="shared" si="145"/>
        <v>0</v>
      </c>
      <c r="BT11" s="76" t="s">
        <v>8</v>
      </c>
      <c r="BU11" s="30" t="s">
        <v>8</v>
      </c>
      <c r="BV11" s="35">
        <f t="shared" si="146"/>
        <v>0.64329769464635156</v>
      </c>
      <c r="BW11" s="33">
        <f t="shared" si="147"/>
        <v>2.7801328567968797E-2</v>
      </c>
      <c r="BX11" s="53">
        <f t="shared" si="148"/>
        <v>244578.98680080203</v>
      </c>
      <c r="BY11" s="128">
        <f t="shared" si="149"/>
        <v>0</v>
      </c>
      <c r="BZ11" s="76" t="s">
        <v>8</v>
      </c>
      <c r="CA11" s="30" t="s">
        <v>8</v>
      </c>
      <c r="CB11" s="35">
        <f t="shared" si="150"/>
        <v>0.64329769464635156</v>
      </c>
      <c r="CC11" s="33">
        <f t="shared" si="151"/>
        <v>2.7801328567968797E-2</v>
      </c>
      <c r="CD11" s="53">
        <f t="shared" si="152"/>
        <v>244578.98680080203</v>
      </c>
      <c r="CE11" s="128">
        <f t="shared" si="153"/>
        <v>0</v>
      </c>
      <c r="CF11" s="76" t="s">
        <v>8</v>
      </c>
      <c r="CG11" s="30" t="s">
        <v>8</v>
      </c>
      <c r="CH11" s="35">
        <f t="shared" si="154"/>
        <v>0.64329769464635156</v>
      </c>
      <c r="CI11" s="33">
        <f t="shared" si="155"/>
        <v>2.7801328567968797E-2</v>
      </c>
      <c r="CJ11" s="53">
        <f t="shared" si="156"/>
        <v>244578.98680080203</v>
      </c>
      <c r="CK11" s="128">
        <f t="shared" si="157"/>
        <v>0</v>
      </c>
      <c r="CL11" s="76" t="s">
        <v>8</v>
      </c>
      <c r="CM11" s="30" t="s">
        <v>8</v>
      </c>
      <c r="CN11" s="35">
        <f t="shared" si="158"/>
        <v>0.64329769464635156</v>
      </c>
      <c r="CO11" s="33">
        <f t="shared" si="159"/>
        <v>2.7801328567968797E-2</v>
      </c>
      <c r="CP11" s="53">
        <f t="shared" si="160"/>
        <v>244578.98680080203</v>
      </c>
      <c r="CQ11" s="128">
        <f t="shared" si="161"/>
        <v>0</v>
      </c>
      <c r="CR11" s="76" t="s">
        <v>8</v>
      </c>
      <c r="CS11" s="30" t="s">
        <v>8</v>
      </c>
      <c r="CT11" s="35">
        <f t="shared" si="162"/>
        <v>0.64329769464635156</v>
      </c>
      <c r="CU11" s="33">
        <f t="shared" si="163"/>
        <v>2.7801328567968797E-2</v>
      </c>
      <c r="CV11" s="53">
        <f t="shared" si="164"/>
        <v>244578.98680080203</v>
      </c>
      <c r="CW11" s="128">
        <f t="shared" si="165"/>
        <v>0</v>
      </c>
      <c r="CX11" s="76" t="s">
        <v>8</v>
      </c>
      <c r="CY11" s="30" t="s">
        <v>8</v>
      </c>
      <c r="CZ11" s="35">
        <f t="shared" si="166"/>
        <v>0.64329769464635156</v>
      </c>
      <c r="DA11" s="33">
        <f t="shared" si="167"/>
        <v>2.7801328567968797E-2</v>
      </c>
      <c r="DB11" s="53">
        <f t="shared" si="168"/>
        <v>244578.98680080203</v>
      </c>
      <c r="DC11" s="128">
        <f t="shared" si="169"/>
        <v>0</v>
      </c>
      <c r="DD11" s="76" t="s">
        <v>8</v>
      </c>
      <c r="DE11" s="30" t="s">
        <v>8</v>
      </c>
      <c r="DF11" s="35">
        <f t="shared" si="170"/>
        <v>0.64329769464635156</v>
      </c>
      <c r="DG11" s="33">
        <f t="shared" si="171"/>
        <v>2.7801328567968797E-2</v>
      </c>
      <c r="DH11" s="53">
        <f t="shared" si="172"/>
        <v>244578.98680080203</v>
      </c>
      <c r="DI11" s="128">
        <f t="shared" si="173"/>
        <v>0</v>
      </c>
      <c r="DJ11" s="76" t="s">
        <v>8</v>
      </c>
      <c r="DK11" s="30" t="s">
        <v>8</v>
      </c>
      <c r="DL11" s="35">
        <f t="shared" si="174"/>
        <v>0.64329769464635156</v>
      </c>
      <c r="DM11" s="33">
        <f t="shared" si="175"/>
        <v>2.7801328567968797E-2</v>
      </c>
      <c r="DN11" s="53">
        <f t="shared" si="176"/>
        <v>244578.98680080203</v>
      </c>
      <c r="DO11" s="128">
        <f t="shared" si="177"/>
        <v>0</v>
      </c>
      <c r="DP11" s="76" t="s">
        <v>8</v>
      </c>
      <c r="DQ11" s="30" t="s">
        <v>8</v>
      </c>
      <c r="DR11" s="35">
        <f t="shared" si="178"/>
        <v>0.64329769464635156</v>
      </c>
      <c r="DS11" s="33">
        <f t="shared" si="179"/>
        <v>2.7801328567968797E-2</v>
      </c>
      <c r="DT11" s="53">
        <f t="shared" si="180"/>
        <v>244578.98680080203</v>
      </c>
      <c r="DU11" s="128">
        <f t="shared" si="181"/>
        <v>0</v>
      </c>
      <c r="DV11" s="76" t="s">
        <v>8</v>
      </c>
      <c r="DW11" s="30" t="s">
        <v>8</v>
      </c>
      <c r="DX11" s="35">
        <f t="shared" si="182"/>
        <v>0.64329769464635156</v>
      </c>
      <c r="DY11" s="33">
        <f t="shared" si="183"/>
        <v>2.7801328567968797E-2</v>
      </c>
      <c r="DZ11" s="34">
        <f t="shared" si="184"/>
        <v>244578.98680080203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0.64329769464635156</v>
      </c>
      <c r="EE11" s="33">
        <f t="shared" si="187"/>
        <v>2.7801328567968797E-2</v>
      </c>
      <c r="EF11" s="34">
        <f t="shared" si="188"/>
        <v>244578.98680080203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0.64329769464635156</v>
      </c>
      <c r="EK11" s="33">
        <f t="shared" si="191"/>
        <v>2.7801328567968797E-2</v>
      </c>
      <c r="EL11" s="34">
        <f t="shared" si="192"/>
        <v>244578.98680080203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0.64329769464635156</v>
      </c>
      <c r="EQ11" s="33">
        <f t="shared" si="195"/>
        <v>2.7801328567968797E-2</v>
      </c>
      <c r="ER11" s="34">
        <f t="shared" si="196"/>
        <v>244578.98680080203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0.64329769464635156</v>
      </c>
      <c r="EW11" s="33">
        <f t="shared" si="199"/>
        <v>2.7801328567968797E-2</v>
      </c>
      <c r="EX11" s="34">
        <f t="shared" si="200"/>
        <v>244578.98680080203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0.64329769464635156</v>
      </c>
      <c r="FC11" s="33">
        <f t="shared" si="203"/>
        <v>2.7801328567968797E-2</v>
      </c>
      <c r="FD11" s="34">
        <f t="shared" si="204"/>
        <v>244578.98680080203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0.64329769464635156</v>
      </c>
      <c r="FI11" s="33">
        <f t="shared" si="207"/>
        <v>2.7801328567968797E-2</v>
      </c>
      <c r="FJ11" s="34">
        <f t="shared" si="208"/>
        <v>244578.98680080203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0.64329769464635156</v>
      </c>
      <c r="FO11" s="33">
        <f t="shared" si="211"/>
        <v>2.7801328567968797E-2</v>
      </c>
      <c r="FP11" s="34">
        <f t="shared" si="212"/>
        <v>244578.98680080203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0.64329769464635156</v>
      </c>
      <c r="FU11" s="33">
        <f t="shared" si="215"/>
        <v>2.7801328567968797E-2</v>
      </c>
      <c r="FV11" s="34">
        <f t="shared" si="216"/>
        <v>244578.98680080203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0.64329769464635156</v>
      </c>
      <c r="GA11" s="33">
        <f t="shared" si="219"/>
        <v>2.7801328567968797E-2</v>
      </c>
      <c r="GB11" s="34">
        <f t="shared" si="220"/>
        <v>244578.98680080203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0.64329769464635156</v>
      </c>
      <c r="GG11" s="33">
        <f t="shared" si="223"/>
        <v>2.7801328567968797E-2</v>
      </c>
      <c r="GH11" s="34">
        <f t="shared" si="224"/>
        <v>244578.98680080203</v>
      </c>
      <c r="GI11" s="128">
        <f t="shared" si="225"/>
        <v>0</v>
      </c>
      <c r="GJ11" s="176">
        <f t="shared" si="228"/>
        <v>1744152.3498952654</v>
      </c>
      <c r="GK11" s="99">
        <f t="shared" si="226"/>
        <v>1869258.9581240662</v>
      </c>
      <c r="GL11" s="217">
        <f t="shared" si="227"/>
        <v>0.64329769464635156</v>
      </c>
      <c r="GM11" s="221">
        <f t="shared" si="229"/>
        <v>1869258.96</v>
      </c>
      <c r="GN11" s="209"/>
      <c r="GO11" s="232"/>
      <c r="GP11" s="212"/>
    </row>
    <row r="12" spans="1:198" s="25" customFormat="1" x14ac:dyDescent="0.25">
      <c r="A12" s="161" t="s">
        <v>177</v>
      </c>
      <c r="B12" s="164" t="s">
        <v>8</v>
      </c>
      <c r="C12" s="164" t="s">
        <v>8</v>
      </c>
      <c r="D12" s="164" t="s">
        <v>8</v>
      </c>
      <c r="E12" s="164" t="s">
        <v>8</v>
      </c>
      <c r="F12" s="164" t="s">
        <v>8</v>
      </c>
      <c r="G12" s="108">
        <f>'Исходные данные'!C14</f>
        <v>219</v>
      </c>
      <c r="H12" s="49">
        <f>'Исходные данные'!D14</f>
        <v>53129.352247721472</v>
      </c>
      <c r="I12" s="32">
        <f>'Расчет КРП'!G10</f>
        <v>10.466551206784082</v>
      </c>
      <c r="J12" s="115" t="s">
        <v>8</v>
      </c>
      <c r="K12" s="119">
        <f t="shared" si="104"/>
        <v>1.8694733713873916E-2</v>
      </c>
      <c r="L12" s="77">
        <f t="shared" si="105"/>
        <v>50180.123080782745</v>
      </c>
      <c r="M12" s="73">
        <f t="shared" si="106"/>
        <v>3.6351716135768285E-2</v>
      </c>
      <c r="N12" s="30" t="s">
        <v>8</v>
      </c>
      <c r="O12" s="33">
        <f t="shared" si="107"/>
        <v>0.12477562360358374</v>
      </c>
      <c r="P12" s="34">
        <f t="shared" si="108"/>
        <v>420138.86561565625</v>
      </c>
      <c r="Q12" s="80">
        <f t="shared" si="109"/>
        <v>420138.86561565625</v>
      </c>
      <c r="R12" s="169" t="s">
        <v>8</v>
      </c>
      <c r="S12" s="30" t="s">
        <v>8</v>
      </c>
      <c r="T12" s="35">
        <f t="shared" si="110"/>
        <v>0.18418683708570607</v>
      </c>
      <c r="U12" s="33">
        <f t="shared" si="111"/>
        <v>8.28925620436263E-2</v>
      </c>
      <c r="V12" s="53">
        <f t="shared" si="112"/>
        <v>357456.79214952159</v>
      </c>
      <c r="W12" s="80">
        <f t="shared" si="113"/>
        <v>357456.79214952159</v>
      </c>
      <c r="X12" s="76" t="s">
        <v>8</v>
      </c>
      <c r="Y12" s="30" t="s">
        <v>8</v>
      </c>
      <c r="Z12" s="35">
        <f t="shared" si="114"/>
        <v>0.30996588879130021</v>
      </c>
      <c r="AA12" s="33">
        <f t="shared" si="115"/>
        <v>7.1369663812596407E-2</v>
      </c>
      <c r="AB12" s="53">
        <f t="shared" si="116"/>
        <v>384847.90025577281</v>
      </c>
      <c r="AC12" s="80">
        <f t="shared" si="117"/>
        <v>384847.90025577281</v>
      </c>
      <c r="AD12" s="76" t="s">
        <v>8</v>
      </c>
      <c r="AE12" s="30" t="s">
        <v>8</v>
      </c>
      <c r="AF12" s="35">
        <f t="shared" si="118"/>
        <v>0.44538310566380096</v>
      </c>
      <c r="AG12" s="33">
        <f t="shared" si="119"/>
        <v>4.9919059622111517E-2</v>
      </c>
      <c r="AH12" s="53">
        <f t="shared" si="120"/>
        <v>322058.25356719299</v>
      </c>
      <c r="AI12" s="80">
        <f t="shared" si="121"/>
        <v>322058.25356719299</v>
      </c>
      <c r="AJ12" s="76" t="s">
        <v>8</v>
      </c>
      <c r="AK12" s="30" t="s">
        <v>8</v>
      </c>
      <c r="AL12" s="35">
        <f t="shared" si="122"/>
        <v>0.55870640128241389</v>
      </c>
      <c r="AM12" s="33">
        <f t="shared" si="123"/>
        <v>3.8454459282851516E-2</v>
      </c>
      <c r="AN12" s="53">
        <f t="shared" si="124"/>
        <v>285035.69272128411</v>
      </c>
      <c r="AO12" s="80">
        <f t="shared" si="125"/>
        <v>258259.6521402339</v>
      </c>
      <c r="AP12" s="76" t="s">
        <v>8</v>
      </c>
      <c r="AQ12" s="30" t="s">
        <v>8</v>
      </c>
      <c r="AR12" s="35">
        <f t="shared" si="126"/>
        <v>0.64958075268214199</v>
      </c>
      <c r="AS12" s="33">
        <f t="shared" si="127"/>
        <v>2.1518270532178363E-2</v>
      </c>
      <c r="AT12" s="53">
        <f t="shared" si="128"/>
        <v>174170.39777583425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0.64958075268214199</v>
      </c>
      <c r="AY12" s="33">
        <f t="shared" si="131"/>
        <v>2.1518270532178363E-2</v>
      </c>
      <c r="AZ12" s="53">
        <f t="shared" si="132"/>
        <v>174170.39777583425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0.64958075268214199</v>
      </c>
      <c r="BE12" s="33">
        <f t="shared" si="135"/>
        <v>2.1518270532178363E-2</v>
      </c>
      <c r="BF12" s="53">
        <f t="shared" si="136"/>
        <v>174170.39777583425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0.64958075268214199</v>
      </c>
      <c r="BK12" s="33">
        <f t="shared" si="139"/>
        <v>2.1518270532178363E-2</v>
      </c>
      <c r="BL12" s="53">
        <f t="shared" si="140"/>
        <v>174170.39777583425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0.64958075268214199</v>
      </c>
      <c r="BQ12" s="33">
        <f t="shared" si="143"/>
        <v>2.1518270532178363E-2</v>
      </c>
      <c r="BR12" s="53">
        <f t="shared" si="144"/>
        <v>174170.39777583425</v>
      </c>
      <c r="BS12" s="128">
        <f t="shared" si="145"/>
        <v>0</v>
      </c>
      <c r="BT12" s="76" t="s">
        <v>8</v>
      </c>
      <c r="BU12" s="30" t="s">
        <v>8</v>
      </c>
      <c r="BV12" s="35">
        <f t="shared" si="146"/>
        <v>0.64958075268214199</v>
      </c>
      <c r="BW12" s="33">
        <f t="shared" si="147"/>
        <v>2.1518270532178363E-2</v>
      </c>
      <c r="BX12" s="53">
        <f t="shared" si="148"/>
        <v>174170.39777583425</v>
      </c>
      <c r="BY12" s="128">
        <f t="shared" si="149"/>
        <v>0</v>
      </c>
      <c r="BZ12" s="76" t="s">
        <v>8</v>
      </c>
      <c r="CA12" s="30" t="s">
        <v>8</v>
      </c>
      <c r="CB12" s="35">
        <f t="shared" si="150"/>
        <v>0.64958075268214199</v>
      </c>
      <c r="CC12" s="33">
        <f t="shared" si="151"/>
        <v>2.1518270532178363E-2</v>
      </c>
      <c r="CD12" s="53">
        <f t="shared" si="152"/>
        <v>174170.39777583425</v>
      </c>
      <c r="CE12" s="128">
        <f t="shared" si="153"/>
        <v>0</v>
      </c>
      <c r="CF12" s="76" t="s">
        <v>8</v>
      </c>
      <c r="CG12" s="30" t="s">
        <v>8</v>
      </c>
      <c r="CH12" s="35">
        <f t="shared" si="154"/>
        <v>0.64958075268214199</v>
      </c>
      <c r="CI12" s="33">
        <f t="shared" si="155"/>
        <v>2.1518270532178363E-2</v>
      </c>
      <c r="CJ12" s="53">
        <f t="shared" si="156"/>
        <v>174170.39777583425</v>
      </c>
      <c r="CK12" s="128">
        <f t="shared" si="157"/>
        <v>0</v>
      </c>
      <c r="CL12" s="76" t="s">
        <v>8</v>
      </c>
      <c r="CM12" s="30" t="s">
        <v>8</v>
      </c>
      <c r="CN12" s="35">
        <f t="shared" si="158"/>
        <v>0.64958075268214199</v>
      </c>
      <c r="CO12" s="33">
        <f t="shared" si="159"/>
        <v>2.1518270532178363E-2</v>
      </c>
      <c r="CP12" s="53">
        <f t="shared" si="160"/>
        <v>174170.39777583425</v>
      </c>
      <c r="CQ12" s="128">
        <f t="shared" si="161"/>
        <v>0</v>
      </c>
      <c r="CR12" s="76" t="s">
        <v>8</v>
      </c>
      <c r="CS12" s="30" t="s">
        <v>8</v>
      </c>
      <c r="CT12" s="35">
        <f t="shared" si="162"/>
        <v>0.64958075268214199</v>
      </c>
      <c r="CU12" s="33">
        <f t="shared" si="163"/>
        <v>2.1518270532178363E-2</v>
      </c>
      <c r="CV12" s="53">
        <f t="shared" si="164"/>
        <v>174170.39777583425</v>
      </c>
      <c r="CW12" s="128">
        <f t="shared" si="165"/>
        <v>0</v>
      </c>
      <c r="CX12" s="76" t="s">
        <v>8</v>
      </c>
      <c r="CY12" s="30" t="s">
        <v>8</v>
      </c>
      <c r="CZ12" s="35">
        <f t="shared" si="166"/>
        <v>0.64958075268214199</v>
      </c>
      <c r="DA12" s="33">
        <f t="shared" si="167"/>
        <v>2.1518270532178363E-2</v>
      </c>
      <c r="DB12" s="53">
        <f t="shared" si="168"/>
        <v>174170.39777583425</v>
      </c>
      <c r="DC12" s="128">
        <f t="shared" si="169"/>
        <v>0</v>
      </c>
      <c r="DD12" s="76" t="s">
        <v>8</v>
      </c>
      <c r="DE12" s="30" t="s">
        <v>8</v>
      </c>
      <c r="DF12" s="35">
        <f t="shared" si="170"/>
        <v>0.64958075268214199</v>
      </c>
      <c r="DG12" s="33">
        <f t="shared" si="171"/>
        <v>2.1518270532178363E-2</v>
      </c>
      <c r="DH12" s="53">
        <f t="shared" si="172"/>
        <v>174170.39777583425</v>
      </c>
      <c r="DI12" s="128">
        <f t="shared" si="173"/>
        <v>0</v>
      </c>
      <c r="DJ12" s="76" t="s">
        <v>8</v>
      </c>
      <c r="DK12" s="30" t="s">
        <v>8</v>
      </c>
      <c r="DL12" s="35">
        <f t="shared" si="174"/>
        <v>0.64958075268214199</v>
      </c>
      <c r="DM12" s="33">
        <f t="shared" si="175"/>
        <v>2.1518270532178363E-2</v>
      </c>
      <c r="DN12" s="53">
        <f t="shared" si="176"/>
        <v>174170.39777583425</v>
      </c>
      <c r="DO12" s="128">
        <f t="shared" si="177"/>
        <v>0</v>
      </c>
      <c r="DP12" s="76" t="s">
        <v>8</v>
      </c>
      <c r="DQ12" s="30" t="s">
        <v>8</v>
      </c>
      <c r="DR12" s="35">
        <f t="shared" si="178"/>
        <v>0.64958075268214199</v>
      </c>
      <c r="DS12" s="33">
        <f t="shared" si="179"/>
        <v>2.1518270532178363E-2</v>
      </c>
      <c r="DT12" s="53">
        <f t="shared" si="180"/>
        <v>174170.39777583425</v>
      </c>
      <c r="DU12" s="128">
        <f t="shared" si="181"/>
        <v>0</v>
      </c>
      <c r="DV12" s="76" t="s">
        <v>8</v>
      </c>
      <c r="DW12" s="30" t="s">
        <v>8</v>
      </c>
      <c r="DX12" s="35">
        <f t="shared" si="182"/>
        <v>0.64958075268214199</v>
      </c>
      <c r="DY12" s="33">
        <f t="shared" si="183"/>
        <v>2.1518270532178363E-2</v>
      </c>
      <c r="DZ12" s="34">
        <f t="shared" si="184"/>
        <v>174170.39777583425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0.64958075268214199</v>
      </c>
      <c r="EE12" s="33">
        <f t="shared" si="187"/>
        <v>2.1518270532178363E-2</v>
      </c>
      <c r="EF12" s="34">
        <f t="shared" si="188"/>
        <v>174170.39777583425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0.64958075268214199</v>
      </c>
      <c r="EK12" s="33">
        <f t="shared" si="191"/>
        <v>2.1518270532178363E-2</v>
      </c>
      <c r="EL12" s="34">
        <f t="shared" si="192"/>
        <v>174170.39777583425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0.64958075268214199</v>
      </c>
      <c r="EQ12" s="33">
        <f t="shared" si="195"/>
        <v>2.1518270532178363E-2</v>
      </c>
      <c r="ER12" s="34">
        <f t="shared" si="196"/>
        <v>174170.39777583425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0.64958075268214199</v>
      </c>
      <c r="EW12" s="33">
        <f t="shared" si="199"/>
        <v>2.1518270532178363E-2</v>
      </c>
      <c r="EX12" s="34">
        <f t="shared" si="200"/>
        <v>174170.39777583425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0.64958075268214199</v>
      </c>
      <c r="FC12" s="33">
        <f t="shared" si="203"/>
        <v>2.1518270532178363E-2</v>
      </c>
      <c r="FD12" s="34">
        <f t="shared" si="204"/>
        <v>174170.39777583425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0.64958075268214199</v>
      </c>
      <c r="FI12" s="33">
        <f t="shared" si="207"/>
        <v>2.1518270532178363E-2</v>
      </c>
      <c r="FJ12" s="34">
        <f t="shared" si="208"/>
        <v>174170.39777583425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0.64958075268214199</v>
      </c>
      <c r="FO12" s="33">
        <f t="shared" si="211"/>
        <v>2.1518270532178363E-2</v>
      </c>
      <c r="FP12" s="34">
        <f t="shared" si="212"/>
        <v>174170.39777583425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0.64958075268214199</v>
      </c>
      <c r="FU12" s="33">
        <f t="shared" si="215"/>
        <v>2.1518270532178363E-2</v>
      </c>
      <c r="FV12" s="34">
        <f t="shared" si="216"/>
        <v>174170.39777583425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0.64958075268214199</v>
      </c>
      <c r="GA12" s="33">
        <f t="shared" si="219"/>
        <v>2.1518270532178363E-2</v>
      </c>
      <c r="GB12" s="34">
        <f t="shared" si="220"/>
        <v>174170.39777583425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0.64958075268214199</v>
      </c>
      <c r="GG12" s="33">
        <f t="shared" si="223"/>
        <v>2.1518270532178363E-2</v>
      </c>
      <c r="GH12" s="34">
        <f t="shared" si="224"/>
        <v>174170.39777583425</v>
      </c>
      <c r="GI12" s="128">
        <f t="shared" si="225"/>
        <v>0</v>
      </c>
      <c r="GJ12" s="176">
        <f t="shared" si="228"/>
        <v>1742761.4637283774</v>
      </c>
      <c r="GK12" s="99">
        <f t="shared" si="226"/>
        <v>1792941.5868091602</v>
      </c>
      <c r="GL12" s="217">
        <f t="shared" si="227"/>
        <v>0.64958075268214199</v>
      </c>
      <c r="GM12" s="221">
        <f t="shared" si="229"/>
        <v>1792941.59</v>
      </c>
      <c r="GN12" s="209"/>
      <c r="GO12" s="232"/>
      <c r="GP12" s="212"/>
    </row>
    <row r="13" spans="1:198" s="25" customFormat="1" ht="15.75" customHeight="1" x14ac:dyDescent="0.25">
      <c r="A13" s="161" t="s">
        <v>178</v>
      </c>
      <c r="B13" s="164" t="s">
        <v>8</v>
      </c>
      <c r="C13" s="164" t="s">
        <v>8</v>
      </c>
      <c r="D13" s="164" t="s">
        <v>8</v>
      </c>
      <c r="E13" s="164" t="s">
        <v>8</v>
      </c>
      <c r="F13" s="164" t="s">
        <v>8</v>
      </c>
      <c r="G13" s="108">
        <f>'Исходные данные'!C15</f>
        <v>200</v>
      </c>
      <c r="H13" s="49">
        <f>'Исходные данные'!D15</f>
        <v>116804.97403222437</v>
      </c>
      <c r="I13" s="32">
        <f>'Расчет КРП'!G11</f>
        <v>10.649657788018432</v>
      </c>
      <c r="J13" s="115" t="s">
        <v>8</v>
      </c>
      <c r="K13" s="119">
        <f t="shared" si="104"/>
        <v>4.4231143659408952E-2</v>
      </c>
      <c r="L13" s="77">
        <f t="shared" si="105"/>
        <v>45826.596420806156</v>
      </c>
      <c r="M13" s="73">
        <f t="shared" si="106"/>
        <v>6.1584537951943366E-2</v>
      </c>
      <c r="N13" s="30" t="s">
        <v>8</v>
      </c>
      <c r="O13" s="33">
        <f t="shared" si="107"/>
        <v>9.9542801787408666E-2</v>
      </c>
      <c r="P13" s="34">
        <f t="shared" si="108"/>
        <v>311451.83985609474</v>
      </c>
      <c r="Q13" s="80">
        <f t="shared" si="109"/>
        <v>311451.83985609474</v>
      </c>
      <c r="R13" s="169" t="s">
        <v>8</v>
      </c>
      <c r="S13" s="30" t="s">
        <v>8</v>
      </c>
      <c r="T13" s="35">
        <f t="shared" si="110"/>
        <v>0.17952361705196224</v>
      </c>
      <c r="U13" s="33">
        <f t="shared" si="111"/>
        <v>8.7555782077370137E-2</v>
      </c>
      <c r="V13" s="53">
        <f t="shared" si="112"/>
        <v>350841.33356004773</v>
      </c>
      <c r="W13" s="80">
        <f t="shared" si="113"/>
        <v>350841.33356004773</v>
      </c>
      <c r="X13" s="76" t="s">
        <v>8</v>
      </c>
      <c r="Y13" s="30" t="s">
        <v>8</v>
      </c>
      <c r="Z13" s="35">
        <f t="shared" si="114"/>
        <v>0.31237851946452488</v>
      </c>
      <c r="AA13" s="33">
        <f t="shared" si="115"/>
        <v>6.8957033139371737E-2</v>
      </c>
      <c r="AB13" s="53">
        <f t="shared" si="116"/>
        <v>345519.02775422076</v>
      </c>
      <c r="AC13" s="80">
        <f t="shared" si="117"/>
        <v>345519.02775422076</v>
      </c>
      <c r="AD13" s="76" t="s">
        <v>8</v>
      </c>
      <c r="AE13" s="30" t="s">
        <v>8</v>
      </c>
      <c r="AF13" s="35">
        <f t="shared" si="118"/>
        <v>0.44321799680938551</v>
      </c>
      <c r="AG13" s="33">
        <f t="shared" si="119"/>
        <v>5.2084168476526971E-2</v>
      </c>
      <c r="AH13" s="53">
        <f t="shared" si="120"/>
        <v>312242.27598696825</v>
      </c>
      <c r="AI13" s="80">
        <f t="shared" si="121"/>
        <v>312242.27598696825</v>
      </c>
      <c r="AJ13" s="76" t="s">
        <v>8</v>
      </c>
      <c r="AK13" s="30" t="s">
        <v>8</v>
      </c>
      <c r="AL13" s="35">
        <f t="shared" si="122"/>
        <v>0.5614563944474027</v>
      </c>
      <c r="AM13" s="33">
        <f t="shared" si="123"/>
        <v>3.570446611786271E-2</v>
      </c>
      <c r="AN13" s="53">
        <f t="shared" si="124"/>
        <v>245919.5253717028</v>
      </c>
      <c r="AO13" s="80">
        <f t="shared" si="125"/>
        <v>222818.02840421925</v>
      </c>
      <c r="AP13" s="76" t="s">
        <v>8</v>
      </c>
      <c r="AQ13" s="30" t="s">
        <v>8</v>
      </c>
      <c r="AR13" s="35">
        <f t="shared" si="126"/>
        <v>0.64583204973015051</v>
      </c>
      <c r="AS13" s="33">
        <f t="shared" si="127"/>
        <v>2.5266973484169841E-2</v>
      </c>
      <c r="AT13" s="53">
        <f t="shared" si="128"/>
        <v>190036.98687953519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0.64583204973015051</v>
      </c>
      <c r="AY13" s="33">
        <f t="shared" si="131"/>
        <v>2.5266973484169841E-2</v>
      </c>
      <c r="AZ13" s="53">
        <f t="shared" si="132"/>
        <v>190036.98687953519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0.64583204973015051</v>
      </c>
      <c r="BE13" s="33">
        <f t="shared" si="135"/>
        <v>2.5266973484169841E-2</v>
      </c>
      <c r="BF13" s="53">
        <f t="shared" si="136"/>
        <v>190036.98687953519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0.64583204973015051</v>
      </c>
      <c r="BK13" s="33">
        <f t="shared" si="139"/>
        <v>2.5266973484169841E-2</v>
      </c>
      <c r="BL13" s="53">
        <f t="shared" si="140"/>
        <v>190036.98687953519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0.64583204973015051</v>
      </c>
      <c r="BQ13" s="33">
        <f t="shared" si="143"/>
        <v>2.5266973484169841E-2</v>
      </c>
      <c r="BR13" s="53">
        <f t="shared" si="144"/>
        <v>190036.98687953519</v>
      </c>
      <c r="BS13" s="128">
        <f t="shared" si="145"/>
        <v>0</v>
      </c>
      <c r="BT13" s="76" t="s">
        <v>8</v>
      </c>
      <c r="BU13" s="30" t="s">
        <v>8</v>
      </c>
      <c r="BV13" s="35">
        <f t="shared" si="146"/>
        <v>0.64583204973015051</v>
      </c>
      <c r="BW13" s="33">
        <f t="shared" si="147"/>
        <v>2.5266973484169841E-2</v>
      </c>
      <c r="BX13" s="53">
        <f t="shared" si="148"/>
        <v>190036.98687953519</v>
      </c>
      <c r="BY13" s="128">
        <f t="shared" si="149"/>
        <v>0</v>
      </c>
      <c r="BZ13" s="76" t="s">
        <v>8</v>
      </c>
      <c r="CA13" s="30" t="s">
        <v>8</v>
      </c>
      <c r="CB13" s="35">
        <f t="shared" si="150"/>
        <v>0.64583204973015051</v>
      </c>
      <c r="CC13" s="33">
        <f t="shared" si="151"/>
        <v>2.5266973484169841E-2</v>
      </c>
      <c r="CD13" s="53">
        <f t="shared" si="152"/>
        <v>190036.98687953519</v>
      </c>
      <c r="CE13" s="128">
        <f t="shared" si="153"/>
        <v>0</v>
      </c>
      <c r="CF13" s="76" t="s">
        <v>8</v>
      </c>
      <c r="CG13" s="30" t="s">
        <v>8</v>
      </c>
      <c r="CH13" s="35">
        <f t="shared" si="154"/>
        <v>0.64583204973015051</v>
      </c>
      <c r="CI13" s="33">
        <f t="shared" si="155"/>
        <v>2.5266973484169841E-2</v>
      </c>
      <c r="CJ13" s="53">
        <f t="shared" si="156"/>
        <v>190036.98687953519</v>
      </c>
      <c r="CK13" s="128">
        <f t="shared" si="157"/>
        <v>0</v>
      </c>
      <c r="CL13" s="76" t="s">
        <v>8</v>
      </c>
      <c r="CM13" s="30" t="s">
        <v>8</v>
      </c>
      <c r="CN13" s="35">
        <f t="shared" si="158"/>
        <v>0.64583204973015051</v>
      </c>
      <c r="CO13" s="33">
        <f t="shared" si="159"/>
        <v>2.5266973484169841E-2</v>
      </c>
      <c r="CP13" s="53">
        <f t="shared" si="160"/>
        <v>190036.98687953519</v>
      </c>
      <c r="CQ13" s="128">
        <f t="shared" si="161"/>
        <v>0</v>
      </c>
      <c r="CR13" s="76" t="s">
        <v>8</v>
      </c>
      <c r="CS13" s="30" t="s">
        <v>8</v>
      </c>
      <c r="CT13" s="35">
        <f t="shared" si="162"/>
        <v>0.64583204973015051</v>
      </c>
      <c r="CU13" s="33">
        <f t="shared" si="163"/>
        <v>2.5266973484169841E-2</v>
      </c>
      <c r="CV13" s="53">
        <f t="shared" si="164"/>
        <v>190036.98687953519</v>
      </c>
      <c r="CW13" s="128">
        <f t="shared" si="165"/>
        <v>0</v>
      </c>
      <c r="CX13" s="76" t="s">
        <v>8</v>
      </c>
      <c r="CY13" s="30" t="s">
        <v>8</v>
      </c>
      <c r="CZ13" s="35">
        <f t="shared" si="166"/>
        <v>0.64583204973015051</v>
      </c>
      <c r="DA13" s="33">
        <f t="shared" si="167"/>
        <v>2.5266973484169841E-2</v>
      </c>
      <c r="DB13" s="53">
        <f t="shared" si="168"/>
        <v>190036.98687953519</v>
      </c>
      <c r="DC13" s="128">
        <f t="shared" si="169"/>
        <v>0</v>
      </c>
      <c r="DD13" s="76" t="s">
        <v>8</v>
      </c>
      <c r="DE13" s="30" t="s">
        <v>8</v>
      </c>
      <c r="DF13" s="35">
        <f t="shared" si="170"/>
        <v>0.64583204973015051</v>
      </c>
      <c r="DG13" s="33">
        <f t="shared" si="171"/>
        <v>2.5266973484169841E-2</v>
      </c>
      <c r="DH13" s="53">
        <f t="shared" si="172"/>
        <v>190036.98687953519</v>
      </c>
      <c r="DI13" s="128">
        <f t="shared" si="173"/>
        <v>0</v>
      </c>
      <c r="DJ13" s="76" t="s">
        <v>8</v>
      </c>
      <c r="DK13" s="30" t="s">
        <v>8</v>
      </c>
      <c r="DL13" s="35">
        <f t="shared" si="174"/>
        <v>0.64583204973015051</v>
      </c>
      <c r="DM13" s="33">
        <f t="shared" si="175"/>
        <v>2.5266973484169841E-2</v>
      </c>
      <c r="DN13" s="53">
        <f t="shared" si="176"/>
        <v>190036.98687953519</v>
      </c>
      <c r="DO13" s="128">
        <f t="shared" si="177"/>
        <v>0</v>
      </c>
      <c r="DP13" s="76" t="s">
        <v>8</v>
      </c>
      <c r="DQ13" s="30" t="s">
        <v>8</v>
      </c>
      <c r="DR13" s="35">
        <f t="shared" si="178"/>
        <v>0.64583204973015051</v>
      </c>
      <c r="DS13" s="33">
        <f t="shared" si="179"/>
        <v>2.5266973484169841E-2</v>
      </c>
      <c r="DT13" s="53">
        <f t="shared" si="180"/>
        <v>190036.98687953519</v>
      </c>
      <c r="DU13" s="128">
        <f t="shared" si="181"/>
        <v>0</v>
      </c>
      <c r="DV13" s="76" t="s">
        <v>8</v>
      </c>
      <c r="DW13" s="30" t="s">
        <v>8</v>
      </c>
      <c r="DX13" s="35">
        <f t="shared" si="182"/>
        <v>0.64583204973015051</v>
      </c>
      <c r="DY13" s="33">
        <f t="shared" si="183"/>
        <v>2.5266973484169841E-2</v>
      </c>
      <c r="DZ13" s="34">
        <f t="shared" si="184"/>
        <v>190036.98687953519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0.64583204973015051</v>
      </c>
      <c r="EE13" s="33">
        <f t="shared" si="187"/>
        <v>2.5266973484169841E-2</v>
      </c>
      <c r="EF13" s="34">
        <f t="shared" si="188"/>
        <v>190036.98687953519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0.64583204973015051</v>
      </c>
      <c r="EK13" s="33">
        <f t="shared" si="191"/>
        <v>2.5266973484169841E-2</v>
      </c>
      <c r="EL13" s="34">
        <f t="shared" si="192"/>
        <v>190036.98687953519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0.64583204973015051</v>
      </c>
      <c r="EQ13" s="33">
        <f t="shared" si="195"/>
        <v>2.5266973484169841E-2</v>
      </c>
      <c r="ER13" s="34">
        <f t="shared" si="196"/>
        <v>190036.98687953519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0.64583204973015051</v>
      </c>
      <c r="EW13" s="33">
        <f t="shared" si="199"/>
        <v>2.5266973484169841E-2</v>
      </c>
      <c r="EX13" s="34">
        <f t="shared" si="200"/>
        <v>190036.98687953519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0.64583204973015051</v>
      </c>
      <c r="FC13" s="33">
        <f t="shared" si="203"/>
        <v>2.5266973484169841E-2</v>
      </c>
      <c r="FD13" s="34">
        <f t="shared" si="204"/>
        <v>190036.98687953519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0.64583204973015051</v>
      </c>
      <c r="FI13" s="33">
        <f t="shared" si="207"/>
        <v>2.5266973484169841E-2</v>
      </c>
      <c r="FJ13" s="34">
        <f t="shared" si="208"/>
        <v>190036.98687953519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0.64583204973015051</v>
      </c>
      <c r="FO13" s="33">
        <f t="shared" si="211"/>
        <v>2.5266973484169841E-2</v>
      </c>
      <c r="FP13" s="34">
        <f t="shared" si="212"/>
        <v>190036.98687953519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0.64583204973015051</v>
      </c>
      <c r="FU13" s="33">
        <f t="shared" si="215"/>
        <v>2.5266973484169841E-2</v>
      </c>
      <c r="FV13" s="34">
        <f t="shared" si="216"/>
        <v>190036.98687953519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0.64583204973015051</v>
      </c>
      <c r="GA13" s="33">
        <f t="shared" si="219"/>
        <v>2.5266973484169841E-2</v>
      </c>
      <c r="GB13" s="34">
        <f t="shared" si="220"/>
        <v>190036.98687953519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0.64583204973015051</v>
      </c>
      <c r="GG13" s="33">
        <f t="shared" si="223"/>
        <v>2.5266973484169841E-2</v>
      </c>
      <c r="GH13" s="34">
        <f t="shared" si="224"/>
        <v>190036.98687953519</v>
      </c>
      <c r="GI13" s="128">
        <f t="shared" si="225"/>
        <v>0</v>
      </c>
      <c r="GJ13" s="176">
        <f t="shared" si="228"/>
        <v>1542872.5055615508</v>
      </c>
      <c r="GK13" s="99">
        <f t="shared" si="226"/>
        <v>1588699.101982357</v>
      </c>
      <c r="GL13" s="217">
        <f t="shared" si="227"/>
        <v>0.64583204973015051</v>
      </c>
      <c r="GM13" s="221">
        <f t="shared" si="229"/>
        <v>1588699.1</v>
      </c>
      <c r="GN13" s="209"/>
      <c r="GO13" s="232"/>
      <c r="GP13" s="212"/>
    </row>
    <row r="14" spans="1:198" s="25" customFormat="1" x14ac:dyDescent="0.25">
      <c r="A14" s="161" t="s">
        <v>179</v>
      </c>
      <c r="B14" s="164" t="s">
        <v>8</v>
      </c>
      <c r="C14" s="164" t="s">
        <v>8</v>
      </c>
      <c r="D14" s="164" t="s">
        <v>8</v>
      </c>
      <c r="E14" s="164" t="s">
        <v>8</v>
      </c>
      <c r="F14" s="164" t="s">
        <v>8</v>
      </c>
      <c r="G14" s="108">
        <f>'Исходные данные'!C16</f>
        <v>77</v>
      </c>
      <c r="H14" s="49">
        <f>'Исходные данные'!D16</f>
        <v>45662.004019078988</v>
      </c>
      <c r="I14" s="32">
        <f>'Расчет КРП'!G12</f>
        <v>24.37832677000419</v>
      </c>
      <c r="J14" s="115" t="s">
        <v>8</v>
      </c>
      <c r="K14" s="119">
        <f t="shared" si="104"/>
        <v>1.9619721056823674E-2</v>
      </c>
      <c r="L14" s="77">
        <f t="shared" si="105"/>
        <v>17643.239622010369</v>
      </c>
      <c r="M14" s="73">
        <f t="shared" si="106"/>
        <v>2.7200541201684341E-2</v>
      </c>
      <c r="N14" s="30" t="s">
        <v>8</v>
      </c>
      <c r="O14" s="33">
        <f t="shared" si="107"/>
        <v>0.1339267985376677</v>
      </c>
      <c r="P14" s="34">
        <f t="shared" si="108"/>
        <v>369298.46173294715</v>
      </c>
      <c r="Q14" s="80">
        <f t="shared" si="109"/>
        <v>369298.46173294715</v>
      </c>
      <c r="R14" s="169" t="s">
        <v>8</v>
      </c>
      <c r="S14" s="30" t="s">
        <v>8</v>
      </c>
      <c r="T14" s="35">
        <f t="shared" si="110"/>
        <v>0.18587804477527012</v>
      </c>
      <c r="U14" s="33">
        <f t="shared" si="111"/>
        <v>8.1201354354062255E-2</v>
      </c>
      <c r="V14" s="53">
        <f t="shared" si="112"/>
        <v>286759.73170733522</v>
      </c>
      <c r="W14" s="80">
        <f t="shared" si="113"/>
        <v>286759.73170733522</v>
      </c>
      <c r="X14" s="76" t="s">
        <v>8</v>
      </c>
      <c r="Y14" s="30" t="s">
        <v>8</v>
      </c>
      <c r="Z14" s="35">
        <f t="shared" si="114"/>
        <v>0.30909090122538857</v>
      </c>
      <c r="AA14" s="33">
        <f t="shared" si="115"/>
        <v>7.2244651378508051E-2</v>
      </c>
      <c r="AB14" s="53">
        <f t="shared" si="116"/>
        <v>319027.46423384506</v>
      </c>
      <c r="AC14" s="80">
        <f t="shared" si="117"/>
        <v>319027.46423384506</v>
      </c>
      <c r="AD14" s="76" t="s">
        <v>8</v>
      </c>
      <c r="AE14" s="30" t="s">
        <v>8</v>
      </c>
      <c r="AF14" s="35">
        <f t="shared" si="118"/>
        <v>0.44616832461483358</v>
      </c>
      <c r="AG14" s="33">
        <f t="shared" si="119"/>
        <v>4.9133840671078899E-2</v>
      </c>
      <c r="AH14" s="53">
        <f t="shared" si="120"/>
        <v>259594.59937089984</v>
      </c>
      <c r="AI14" s="80">
        <f t="shared" si="121"/>
        <v>259594.59937089984</v>
      </c>
      <c r="AJ14" s="76" t="s">
        <v>8</v>
      </c>
      <c r="AK14" s="30" t="s">
        <v>8</v>
      </c>
      <c r="AL14" s="35">
        <f t="shared" si="122"/>
        <v>0.55770906262946096</v>
      </c>
      <c r="AM14" s="33">
        <f t="shared" si="123"/>
        <v>3.9451797935804445E-2</v>
      </c>
      <c r="AN14" s="53">
        <f t="shared" si="124"/>
        <v>239478.34026897553</v>
      </c>
      <c r="AO14" s="80">
        <f t="shared" si="125"/>
        <v>216981.92343041929</v>
      </c>
      <c r="AP14" s="76" t="s">
        <v>8</v>
      </c>
      <c r="AQ14" s="30" t="s">
        <v>8</v>
      </c>
      <c r="AR14" s="35">
        <f t="shared" si="126"/>
        <v>0.650940292916663</v>
      </c>
      <c r="AS14" s="33">
        <f t="shared" si="127"/>
        <v>2.0158730297657357E-2</v>
      </c>
      <c r="AT14" s="53">
        <f t="shared" si="128"/>
        <v>133621.71970955792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0.650940292916663</v>
      </c>
      <c r="AY14" s="33">
        <f t="shared" si="131"/>
        <v>2.0158730297657357E-2</v>
      </c>
      <c r="AZ14" s="53">
        <f t="shared" si="132"/>
        <v>133621.71970955792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0.650940292916663</v>
      </c>
      <c r="BE14" s="33">
        <f t="shared" si="135"/>
        <v>2.0158730297657357E-2</v>
      </c>
      <c r="BF14" s="53">
        <f t="shared" si="136"/>
        <v>133621.71970955792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0.650940292916663</v>
      </c>
      <c r="BK14" s="33">
        <f t="shared" si="139"/>
        <v>2.0158730297657357E-2</v>
      </c>
      <c r="BL14" s="53">
        <f t="shared" si="140"/>
        <v>133621.71970955792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0.650940292916663</v>
      </c>
      <c r="BQ14" s="33">
        <f t="shared" si="143"/>
        <v>2.0158730297657357E-2</v>
      </c>
      <c r="BR14" s="53">
        <f t="shared" si="144"/>
        <v>133621.71970955792</v>
      </c>
      <c r="BS14" s="128">
        <f t="shared" si="145"/>
        <v>0</v>
      </c>
      <c r="BT14" s="76" t="s">
        <v>8</v>
      </c>
      <c r="BU14" s="30" t="s">
        <v>8</v>
      </c>
      <c r="BV14" s="35">
        <f t="shared" si="146"/>
        <v>0.650940292916663</v>
      </c>
      <c r="BW14" s="33">
        <f t="shared" si="147"/>
        <v>2.0158730297657357E-2</v>
      </c>
      <c r="BX14" s="53">
        <f t="shared" si="148"/>
        <v>133621.71970955792</v>
      </c>
      <c r="BY14" s="128">
        <f t="shared" si="149"/>
        <v>0</v>
      </c>
      <c r="BZ14" s="76" t="s">
        <v>8</v>
      </c>
      <c r="CA14" s="30" t="s">
        <v>8</v>
      </c>
      <c r="CB14" s="35">
        <f t="shared" si="150"/>
        <v>0.650940292916663</v>
      </c>
      <c r="CC14" s="33">
        <f t="shared" si="151"/>
        <v>2.0158730297657357E-2</v>
      </c>
      <c r="CD14" s="53">
        <f t="shared" si="152"/>
        <v>133621.71970955792</v>
      </c>
      <c r="CE14" s="128">
        <f t="shared" si="153"/>
        <v>0</v>
      </c>
      <c r="CF14" s="76" t="s">
        <v>8</v>
      </c>
      <c r="CG14" s="30" t="s">
        <v>8</v>
      </c>
      <c r="CH14" s="35">
        <f t="shared" si="154"/>
        <v>0.650940292916663</v>
      </c>
      <c r="CI14" s="33">
        <f t="shared" si="155"/>
        <v>2.0158730297657357E-2</v>
      </c>
      <c r="CJ14" s="53">
        <f t="shared" si="156"/>
        <v>133621.71970955792</v>
      </c>
      <c r="CK14" s="128">
        <f t="shared" si="157"/>
        <v>0</v>
      </c>
      <c r="CL14" s="76" t="s">
        <v>8</v>
      </c>
      <c r="CM14" s="30" t="s">
        <v>8</v>
      </c>
      <c r="CN14" s="35">
        <f t="shared" si="158"/>
        <v>0.650940292916663</v>
      </c>
      <c r="CO14" s="33">
        <f t="shared" si="159"/>
        <v>2.0158730297657357E-2</v>
      </c>
      <c r="CP14" s="53">
        <f t="shared" si="160"/>
        <v>133621.71970955792</v>
      </c>
      <c r="CQ14" s="128">
        <f t="shared" si="161"/>
        <v>0</v>
      </c>
      <c r="CR14" s="76" t="s">
        <v>8</v>
      </c>
      <c r="CS14" s="30" t="s">
        <v>8</v>
      </c>
      <c r="CT14" s="35">
        <f t="shared" si="162"/>
        <v>0.650940292916663</v>
      </c>
      <c r="CU14" s="33">
        <f t="shared" si="163"/>
        <v>2.0158730297657357E-2</v>
      </c>
      <c r="CV14" s="53">
        <f t="shared" si="164"/>
        <v>133621.71970955792</v>
      </c>
      <c r="CW14" s="128">
        <f t="shared" si="165"/>
        <v>0</v>
      </c>
      <c r="CX14" s="76" t="s">
        <v>8</v>
      </c>
      <c r="CY14" s="30" t="s">
        <v>8</v>
      </c>
      <c r="CZ14" s="35">
        <f t="shared" si="166"/>
        <v>0.650940292916663</v>
      </c>
      <c r="DA14" s="33">
        <f t="shared" si="167"/>
        <v>2.0158730297657357E-2</v>
      </c>
      <c r="DB14" s="53">
        <f t="shared" si="168"/>
        <v>133621.71970955792</v>
      </c>
      <c r="DC14" s="128">
        <f t="shared" si="169"/>
        <v>0</v>
      </c>
      <c r="DD14" s="76" t="s">
        <v>8</v>
      </c>
      <c r="DE14" s="30" t="s">
        <v>8</v>
      </c>
      <c r="DF14" s="35">
        <f t="shared" si="170"/>
        <v>0.650940292916663</v>
      </c>
      <c r="DG14" s="33">
        <f t="shared" si="171"/>
        <v>2.0158730297657357E-2</v>
      </c>
      <c r="DH14" s="53">
        <f t="shared" si="172"/>
        <v>133621.71970955792</v>
      </c>
      <c r="DI14" s="128">
        <f t="shared" si="173"/>
        <v>0</v>
      </c>
      <c r="DJ14" s="76" t="s">
        <v>8</v>
      </c>
      <c r="DK14" s="30" t="s">
        <v>8</v>
      </c>
      <c r="DL14" s="35">
        <f t="shared" si="174"/>
        <v>0.650940292916663</v>
      </c>
      <c r="DM14" s="33">
        <f t="shared" si="175"/>
        <v>2.0158730297657357E-2</v>
      </c>
      <c r="DN14" s="53">
        <f t="shared" si="176"/>
        <v>133621.71970955792</v>
      </c>
      <c r="DO14" s="128">
        <f t="shared" si="177"/>
        <v>0</v>
      </c>
      <c r="DP14" s="76" t="s">
        <v>8</v>
      </c>
      <c r="DQ14" s="30" t="s">
        <v>8</v>
      </c>
      <c r="DR14" s="35">
        <f t="shared" si="178"/>
        <v>0.650940292916663</v>
      </c>
      <c r="DS14" s="33">
        <f t="shared" si="179"/>
        <v>2.0158730297657357E-2</v>
      </c>
      <c r="DT14" s="53">
        <f t="shared" si="180"/>
        <v>133621.71970955792</v>
      </c>
      <c r="DU14" s="128">
        <f t="shared" si="181"/>
        <v>0</v>
      </c>
      <c r="DV14" s="76" t="s">
        <v>8</v>
      </c>
      <c r="DW14" s="30" t="s">
        <v>8</v>
      </c>
      <c r="DX14" s="35">
        <f t="shared" si="182"/>
        <v>0.650940292916663</v>
      </c>
      <c r="DY14" s="33">
        <f t="shared" si="183"/>
        <v>2.0158730297657357E-2</v>
      </c>
      <c r="DZ14" s="34">
        <f t="shared" si="184"/>
        <v>133621.71970955792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0.650940292916663</v>
      </c>
      <c r="EE14" s="33">
        <f t="shared" si="187"/>
        <v>2.0158730297657357E-2</v>
      </c>
      <c r="EF14" s="34">
        <f t="shared" si="188"/>
        <v>133621.71970955792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0.650940292916663</v>
      </c>
      <c r="EK14" s="33">
        <f t="shared" si="191"/>
        <v>2.0158730297657357E-2</v>
      </c>
      <c r="EL14" s="34">
        <f t="shared" si="192"/>
        <v>133621.71970955792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0.650940292916663</v>
      </c>
      <c r="EQ14" s="33">
        <f t="shared" si="195"/>
        <v>2.0158730297657357E-2</v>
      </c>
      <c r="ER14" s="34">
        <f t="shared" si="196"/>
        <v>133621.71970955792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0.650940292916663</v>
      </c>
      <c r="EW14" s="33">
        <f t="shared" si="199"/>
        <v>2.0158730297657357E-2</v>
      </c>
      <c r="EX14" s="34">
        <f t="shared" si="200"/>
        <v>133621.71970955792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0.650940292916663</v>
      </c>
      <c r="FC14" s="33">
        <f t="shared" si="203"/>
        <v>2.0158730297657357E-2</v>
      </c>
      <c r="FD14" s="34">
        <f t="shared" si="204"/>
        <v>133621.71970955792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0.650940292916663</v>
      </c>
      <c r="FI14" s="33">
        <f t="shared" si="207"/>
        <v>2.0158730297657357E-2</v>
      </c>
      <c r="FJ14" s="34">
        <f t="shared" si="208"/>
        <v>133621.71970955792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0.650940292916663</v>
      </c>
      <c r="FO14" s="33">
        <f t="shared" si="211"/>
        <v>2.0158730297657357E-2</v>
      </c>
      <c r="FP14" s="34">
        <f t="shared" si="212"/>
        <v>133621.71970955792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0.650940292916663</v>
      </c>
      <c r="FU14" s="33">
        <f t="shared" si="215"/>
        <v>2.0158730297657357E-2</v>
      </c>
      <c r="FV14" s="34">
        <f t="shared" si="216"/>
        <v>133621.71970955792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0.650940292916663</v>
      </c>
      <c r="GA14" s="33">
        <f t="shared" si="219"/>
        <v>2.0158730297657357E-2</v>
      </c>
      <c r="GB14" s="34">
        <f t="shared" si="220"/>
        <v>133621.71970955792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0.650940292916663</v>
      </c>
      <c r="GG14" s="33">
        <f t="shared" si="223"/>
        <v>2.0158730297657357E-2</v>
      </c>
      <c r="GH14" s="34">
        <f t="shared" si="224"/>
        <v>133621.71970955792</v>
      </c>
      <c r="GI14" s="128">
        <f t="shared" si="225"/>
        <v>0</v>
      </c>
      <c r="GJ14" s="176">
        <f t="shared" si="228"/>
        <v>1451662.1804754466</v>
      </c>
      <c r="GK14" s="99">
        <f t="shared" si="226"/>
        <v>1469305.420097457</v>
      </c>
      <c r="GL14" s="217">
        <f t="shared" si="227"/>
        <v>0.650940292916663</v>
      </c>
      <c r="GM14" s="221">
        <f t="shared" si="229"/>
        <v>1469305.42</v>
      </c>
      <c r="GN14" s="209"/>
      <c r="GO14" s="232"/>
      <c r="GP14" s="212"/>
    </row>
    <row r="15" spans="1:198" s="25" customFormat="1" x14ac:dyDescent="0.25">
      <c r="A15" s="161" t="s">
        <v>180</v>
      </c>
      <c r="B15" s="164" t="s">
        <v>8</v>
      </c>
      <c r="C15" s="164" t="s">
        <v>8</v>
      </c>
      <c r="D15" s="164" t="s">
        <v>8</v>
      </c>
      <c r="E15" s="164" t="s">
        <v>8</v>
      </c>
      <c r="F15" s="164" t="s">
        <v>8</v>
      </c>
      <c r="G15" s="108">
        <f>'Исходные данные'!C17</f>
        <v>165</v>
      </c>
      <c r="H15" s="49">
        <f>'Исходные данные'!D17</f>
        <v>69530.79641148771</v>
      </c>
      <c r="I15" s="32">
        <f>'Расчет КРП'!G13</f>
        <v>10.049854405809244</v>
      </c>
      <c r="J15" s="115" t="s">
        <v>8</v>
      </c>
      <c r="K15" s="119">
        <f t="shared" si="104"/>
        <v>3.3819405528843598E-2</v>
      </c>
      <c r="L15" s="77">
        <f t="shared" si="105"/>
        <v>37806.942047165081</v>
      </c>
      <c r="M15" s="73">
        <f t="shared" si="106"/>
        <v>5.2208498864287044E-2</v>
      </c>
      <c r="N15" s="30" t="s">
        <v>8</v>
      </c>
      <c r="O15" s="33">
        <f t="shared" si="107"/>
        <v>0.10891884087506498</v>
      </c>
      <c r="P15" s="34">
        <f t="shared" si="108"/>
        <v>265315.19125173549</v>
      </c>
      <c r="Q15" s="80">
        <f t="shared" si="109"/>
        <v>265315.19125173549</v>
      </c>
      <c r="R15" s="169" t="s">
        <v>8</v>
      </c>
      <c r="S15" s="30" t="s">
        <v>8</v>
      </c>
      <c r="T15" s="35">
        <f t="shared" si="110"/>
        <v>0.18125638137096109</v>
      </c>
      <c r="U15" s="33">
        <f t="shared" si="111"/>
        <v>8.5823017758371284E-2</v>
      </c>
      <c r="V15" s="53">
        <f t="shared" si="112"/>
        <v>267736.61539638159</v>
      </c>
      <c r="W15" s="80">
        <f t="shared" si="113"/>
        <v>267736.61539638159</v>
      </c>
      <c r="X15" s="76" t="s">
        <v>8</v>
      </c>
      <c r="Y15" s="30" t="s">
        <v>8</v>
      </c>
      <c r="Z15" s="35">
        <f t="shared" si="114"/>
        <v>0.31148203156233822</v>
      </c>
      <c r="AA15" s="33">
        <f t="shared" si="115"/>
        <v>6.9853521041558397E-2</v>
      </c>
      <c r="AB15" s="53">
        <f t="shared" si="116"/>
        <v>272495.77272070223</v>
      </c>
      <c r="AC15" s="80">
        <f t="shared" si="117"/>
        <v>272495.77272070223</v>
      </c>
      <c r="AD15" s="76" t="s">
        <v>8</v>
      </c>
      <c r="AE15" s="30" t="s">
        <v>8</v>
      </c>
      <c r="AF15" s="35">
        <f t="shared" si="118"/>
        <v>0.44402251028773998</v>
      </c>
      <c r="AG15" s="33">
        <f t="shared" si="119"/>
        <v>5.1279654998172497E-2</v>
      </c>
      <c r="AH15" s="53">
        <f t="shared" si="120"/>
        <v>239336.60686473682</v>
      </c>
      <c r="AI15" s="80">
        <f t="shared" si="121"/>
        <v>239336.60686473682</v>
      </c>
      <c r="AJ15" s="76" t="s">
        <v>8</v>
      </c>
      <c r="AK15" s="30" t="s">
        <v>8</v>
      </c>
      <c r="AL15" s="35">
        <f t="shared" si="122"/>
        <v>0.56043454902743484</v>
      </c>
      <c r="AM15" s="33">
        <f t="shared" si="123"/>
        <v>3.6726311537830569E-2</v>
      </c>
      <c r="AN15" s="53">
        <f t="shared" si="124"/>
        <v>196936.33363887307</v>
      </c>
      <c r="AO15" s="80">
        <f t="shared" si="125"/>
        <v>178436.28120314545</v>
      </c>
      <c r="AP15" s="76" t="s">
        <v>8</v>
      </c>
      <c r="AQ15" s="30" t="s">
        <v>8</v>
      </c>
      <c r="AR15" s="35">
        <f t="shared" si="126"/>
        <v>0.64722499680764922</v>
      </c>
      <c r="AS15" s="33">
        <f t="shared" si="127"/>
        <v>2.3874026406671134E-2</v>
      </c>
      <c r="AT15" s="53">
        <f t="shared" si="128"/>
        <v>139794.03718044874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0.64722499680764922</v>
      </c>
      <c r="AY15" s="33">
        <f t="shared" si="131"/>
        <v>2.3874026406671134E-2</v>
      </c>
      <c r="AZ15" s="53">
        <f t="shared" si="132"/>
        <v>139794.03718044874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0.64722499680764922</v>
      </c>
      <c r="BE15" s="33">
        <f t="shared" si="135"/>
        <v>2.3874026406671134E-2</v>
      </c>
      <c r="BF15" s="53">
        <f t="shared" si="136"/>
        <v>139794.03718044874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0.64722499680764922</v>
      </c>
      <c r="BK15" s="33">
        <f t="shared" si="139"/>
        <v>2.3874026406671134E-2</v>
      </c>
      <c r="BL15" s="53">
        <f t="shared" si="140"/>
        <v>139794.03718044874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0.64722499680764922</v>
      </c>
      <c r="BQ15" s="33">
        <f t="shared" si="143"/>
        <v>2.3874026406671134E-2</v>
      </c>
      <c r="BR15" s="53">
        <f t="shared" si="144"/>
        <v>139794.03718044874</v>
      </c>
      <c r="BS15" s="128">
        <f t="shared" si="145"/>
        <v>0</v>
      </c>
      <c r="BT15" s="76" t="s">
        <v>8</v>
      </c>
      <c r="BU15" s="30" t="s">
        <v>8</v>
      </c>
      <c r="BV15" s="35">
        <f t="shared" si="146"/>
        <v>0.64722499680764922</v>
      </c>
      <c r="BW15" s="33">
        <f t="shared" si="147"/>
        <v>2.3874026406671134E-2</v>
      </c>
      <c r="BX15" s="53">
        <f t="shared" si="148"/>
        <v>139794.03718044874</v>
      </c>
      <c r="BY15" s="128">
        <f t="shared" si="149"/>
        <v>0</v>
      </c>
      <c r="BZ15" s="76" t="s">
        <v>8</v>
      </c>
      <c r="CA15" s="30" t="s">
        <v>8</v>
      </c>
      <c r="CB15" s="35">
        <f t="shared" si="150"/>
        <v>0.64722499680764922</v>
      </c>
      <c r="CC15" s="33">
        <f t="shared" si="151"/>
        <v>2.3874026406671134E-2</v>
      </c>
      <c r="CD15" s="53">
        <f t="shared" si="152"/>
        <v>139794.03718044874</v>
      </c>
      <c r="CE15" s="128">
        <f t="shared" si="153"/>
        <v>0</v>
      </c>
      <c r="CF15" s="76" t="s">
        <v>8</v>
      </c>
      <c r="CG15" s="30" t="s">
        <v>8</v>
      </c>
      <c r="CH15" s="35">
        <f t="shared" si="154"/>
        <v>0.64722499680764922</v>
      </c>
      <c r="CI15" s="33">
        <f t="shared" si="155"/>
        <v>2.3874026406671134E-2</v>
      </c>
      <c r="CJ15" s="53">
        <f t="shared" si="156"/>
        <v>139794.03718044874</v>
      </c>
      <c r="CK15" s="128">
        <f t="shared" si="157"/>
        <v>0</v>
      </c>
      <c r="CL15" s="76" t="s">
        <v>8</v>
      </c>
      <c r="CM15" s="30" t="s">
        <v>8</v>
      </c>
      <c r="CN15" s="35">
        <f t="shared" si="158"/>
        <v>0.64722499680764922</v>
      </c>
      <c r="CO15" s="33">
        <f t="shared" si="159"/>
        <v>2.3874026406671134E-2</v>
      </c>
      <c r="CP15" s="53">
        <f t="shared" si="160"/>
        <v>139794.03718044874</v>
      </c>
      <c r="CQ15" s="128">
        <f t="shared" si="161"/>
        <v>0</v>
      </c>
      <c r="CR15" s="76" t="s">
        <v>8</v>
      </c>
      <c r="CS15" s="30" t="s">
        <v>8</v>
      </c>
      <c r="CT15" s="35">
        <f t="shared" si="162"/>
        <v>0.64722499680764922</v>
      </c>
      <c r="CU15" s="33">
        <f t="shared" si="163"/>
        <v>2.3874026406671134E-2</v>
      </c>
      <c r="CV15" s="53">
        <f t="shared" si="164"/>
        <v>139794.03718044874</v>
      </c>
      <c r="CW15" s="128">
        <f t="shared" si="165"/>
        <v>0</v>
      </c>
      <c r="CX15" s="76" t="s">
        <v>8</v>
      </c>
      <c r="CY15" s="30" t="s">
        <v>8</v>
      </c>
      <c r="CZ15" s="35">
        <f t="shared" si="166"/>
        <v>0.64722499680764922</v>
      </c>
      <c r="DA15" s="33">
        <f t="shared" si="167"/>
        <v>2.3874026406671134E-2</v>
      </c>
      <c r="DB15" s="53">
        <f t="shared" si="168"/>
        <v>139794.03718044874</v>
      </c>
      <c r="DC15" s="128">
        <f t="shared" si="169"/>
        <v>0</v>
      </c>
      <c r="DD15" s="76" t="s">
        <v>8</v>
      </c>
      <c r="DE15" s="30" t="s">
        <v>8</v>
      </c>
      <c r="DF15" s="35">
        <f t="shared" si="170"/>
        <v>0.64722499680764922</v>
      </c>
      <c r="DG15" s="33">
        <f t="shared" si="171"/>
        <v>2.3874026406671134E-2</v>
      </c>
      <c r="DH15" s="53">
        <f t="shared" si="172"/>
        <v>139794.03718044874</v>
      </c>
      <c r="DI15" s="128">
        <f t="shared" si="173"/>
        <v>0</v>
      </c>
      <c r="DJ15" s="76" t="s">
        <v>8</v>
      </c>
      <c r="DK15" s="30" t="s">
        <v>8</v>
      </c>
      <c r="DL15" s="35">
        <f t="shared" si="174"/>
        <v>0.64722499680764922</v>
      </c>
      <c r="DM15" s="33">
        <f t="shared" si="175"/>
        <v>2.3874026406671134E-2</v>
      </c>
      <c r="DN15" s="53">
        <f t="shared" si="176"/>
        <v>139794.03718044874</v>
      </c>
      <c r="DO15" s="128">
        <f t="shared" si="177"/>
        <v>0</v>
      </c>
      <c r="DP15" s="76" t="s">
        <v>8</v>
      </c>
      <c r="DQ15" s="30" t="s">
        <v>8</v>
      </c>
      <c r="DR15" s="35">
        <f t="shared" si="178"/>
        <v>0.64722499680764922</v>
      </c>
      <c r="DS15" s="33">
        <f t="shared" si="179"/>
        <v>2.3874026406671134E-2</v>
      </c>
      <c r="DT15" s="53">
        <f t="shared" si="180"/>
        <v>139794.03718044874</v>
      </c>
      <c r="DU15" s="128">
        <f t="shared" si="181"/>
        <v>0</v>
      </c>
      <c r="DV15" s="76" t="s">
        <v>8</v>
      </c>
      <c r="DW15" s="30" t="s">
        <v>8</v>
      </c>
      <c r="DX15" s="35">
        <f t="shared" si="182"/>
        <v>0.64722499680764922</v>
      </c>
      <c r="DY15" s="33">
        <f t="shared" si="183"/>
        <v>2.3874026406671134E-2</v>
      </c>
      <c r="DZ15" s="34">
        <f t="shared" si="184"/>
        <v>139794.03718044874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0.64722499680764922</v>
      </c>
      <c r="EE15" s="33">
        <f t="shared" si="187"/>
        <v>2.3874026406671134E-2</v>
      </c>
      <c r="EF15" s="34">
        <f t="shared" si="188"/>
        <v>139794.03718044874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0.64722499680764922</v>
      </c>
      <c r="EK15" s="33">
        <f t="shared" si="191"/>
        <v>2.3874026406671134E-2</v>
      </c>
      <c r="EL15" s="34">
        <f t="shared" si="192"/>
        <v>139794.03718044874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0.64722499680764922</v>
      </c>
      <c r="EQ15" s="33">
        <f t="shared" si="195"/>
        <v>2.3874026406671134E-2</v>
      </c>
      <c r="ER15" s="34">
        <f t="shared" si="196"/>
        <v>139794.03718044874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0.64722499680764922</v>
      </c>
      <c r="EW15" s="33">
        <f t="shared" si="199"/>
        <v>2.3874026406671134E-2</v>
      </c>
      <c r="EX15" s="34">
        <f t="shared" si="200"/>
        <v>139794.03718044874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0.64722499680764922</v>
      </c>
      <c r="FC15" s="33">
        <f t="shared" si="203"/>
        <v>2.3874026406671134E-2</v>
      </c>
      <c r="FD15" s="34">
        <f t="shared" si="204"/>
        <v>139794.03718044874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0.64722499680764922</v>
      </c>
      <c r="FI15" s="33">
        <f t="shared" si="207"/>
        <v>2.3874026406671134E-2</v>
      </c>
      <c r="FJ15" s="34">
        <f t="shared" si="208"/>
        <v>139794.03718044874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0.64722499680764922</v>
      </c>
      <c r="FO15" s="33">
        <f t="shared" si="211"/>
        <v>2.3874026406671134E-2</v>
      </c>
      <c r="FP15" s="34">
        <f t="shared" si="212"/>
        <v>139794.03718044874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0.64722499680764922</v>
      </c>
      <c r="FU15" s="33">
        <f t="shared" si="215"/>
        <v>2.3874026406671134E-2</v>
      </c>
      <c r="FV15" s="34">
        <f t="shared" si="216"/>
        <v>139794.03718044874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0.64722499680764922</v>
      </c>
      <c r="GA15" s="33">
        <f t="shared" si="219"/>
        <v>2.3874026406671134E-2</v>
      </c>
      <c r="GB15" s="34">
        <f t="shared" si="220"/>
        <v>139794.03718044874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0.64722499680764922</v>
      </c>
      <c r="GG15" s="33">
        <f t="shared" si="223"/>
        <v>2.3874026406671134E-2</v>
      </c>
      <c r="GH15" s="34">
        <f t="shared" si="224"/>
        <v>139794.03718044874</v>
      </c>
      <c r="GI15" s="128">
        <f t="shared" si="225"/>
        <v>0</v>
      </c>
      <c r="GJ15" s="176">
        <f t="shared" si="228"/>
        <v>1223320.4674367015</v>
      </c>
      <c r="GK15" s="99">
        <f>L15+GJ15</f>
        <v>1261127.4094838665</v>
      </c>
      <c r="GL15" s="217">
        <f t="shared" si="227"/>
        <v>0.64722499680764922</v>
      </c>
      <c r="GM15" s="221">
        <f t="shared" si="229"/>
        <v>1261127.4099999999</v>
      </c>
      <c r="GN15" s="209"/>
      <c r="GO15" s="232"/>
      <c r="GP15" s="212"/>
    </row>
    <row r="16" spans="1:198" s="25" customFormat="1" x14ac:dyDescent="0.25">
      <c r="A16" s="162" t="s">
        <v>181</v>
      </c>
      <c r="B16" s="164" t="s">
        <v>8</v>
      </c>
      <c r="C16" s="164" t="s">
        <v>8</v>
      </c>
      <c r="D16" s="164" t="s">
        <v>8</v>
      </c>
      <c r="E16" s="164" t="s">
        <v>8</v>
      </c>
      <c r="F16" s="164" t="s">
        <v>8</v>
      </c>
      <c r="G16" s="108">
        <f>'Исходные данные'!C18</f>
        <v>541</v>
      </c>
      <c r="H16" s="49">
        <f>'Исходные данные'!D18</f>
        <v>160364.03474361656</v>
      </c>
      <c r="I16" s="32">
        <f>'Расчет КРП'!G14</f>
        <v>6.1882482857313219</v>
      </c>
      <c r="J16" s="115" t="s">
        <v>8</v>
      </c>
      <c r="K16" s="119">
        <f t="shared" si="104"/>
        <v>3.8634425539757627E-2</v>
      </c>
      <c r="L16" s="77">
        <f t="shared" si="105"/>
        <v>123960.94331828065</v>
      </c>
      <c r="M16" s="73">
        <f t="shared" si="106"/>
        <v>6.8498726735003443E-2</v>
      </c>
      <c r="N16" s="30" t="s">
        <v>8</v>
      </c>
      <c r="O16" s="33">
        <f t="shared" si="107"/>
        <v>9.2628613004348589E-2</v>
      </c>
      <c r="P16" s="34">
        <f t="shared" si="108"/>
        <v>455538.98359726497</v>
      </c>
      <c r="Q16" s="80">
        <f t="shared" si="109"/>
        <v>455538.98359726497</v>
      </c>
      <c r="R16" s="169" t="s">
        <v>8</v>
      </c>
      <c r="S16" s="30" t="s">
        <v>8</v>
      </c>
      <c r="T16" s="35">
        <f t="shared" si="110"/>
        <v>0.17824582165178288</v>
      </c>
      <c r="U16" s="33">
        <f t="shared" si="111"/>
        <v>8.8833577477549497E-2</v>
      </c>
      <c r="V16" s="53">
        <f t="shared" si="112"/>
        <v>559503.00163654995</v>
      </c>
      <c r="W16" s="80">
        <f t="shared" si="113"/>
        <v>559503.00163654995</v>
      </c>
      <c r="X16" s="76" t="s">
        <v>8</v>
      </c>
      <c r="Y16" s="30" t="s">
        <v>8</v>
      </c>
      <c r="Z16" s="35">
        <f t="shared" si="114"/>
        <v>0.31303961809471398</v>
      </c>
      <c r="AA16" s="33">
        <f t="shared" si="115"/>
        <v>6.8295934509182643E-2</v>
      </c>
      <c r="AB16" s="53">
        <f t="shared" si="116"/>
        <v>537882.72974410467</v>
      </c>
      <c r="AC16" s="80">
        <f t="shared" si="117"/>
        <v>537882.72974410467</v>
      </c>
      <c r="AD16" s="76" t="s">
        <v>8</v>
      </c>
      <c r="AE16" s="30" t="s">
        <v>8</v>
      </c>
      <c r="AF16" s="35">
        <f t="shared" si="118"/>
        <v>0.44262472303824857</v>
      </c>
      <c r="AG16" s="33">
        <f t="shared" si="119"/>
        <v>5.2677442247663908E-2</v>
      </c>
      <c r="AH16" s="53">
        <f t="shared" si="120"/>
        <v>496375.10920682189</v>
      </c>
      <c r="AI16" s="80">
        <f t="shared" si="121"/>
        <v>496375.10920682189</v>
      </c>
      <c r="AJ16" s="76" t="s">
        <v>8</v>
      </c>
      <c r="AK16" s="30" t="s">
        <v>8</v>
      </c>
      <c r="AL16" s="35">
        <f t="shared" si="122"/>
        <v>0.56220993568957456</v>
      </c>
      <c r="AM16" s="33">
        <f t="shared" si="123"/>
        <v>3.4950924875690847E-2</v>
      </c>
      <c r="AN16" s="53">
        <f t="shared" si="124"/>
        <v>378380.27465139149</v>
      </c>
      <c r="AO16" s="80">
        <f t="shared" si="125"/>
        <v>342835.51359916263</v>
      </c>
      <c r="AP16" s="76" t="s">
        <v>8</v>
      </c>
      <c r="AQ16" s="30" t="s">
        <v>8</v>
      </c>
      <c r="AR16" s="35">
        <f t="shared" si="126"/>
        <v>0.64480484634836022</v>
      </c>
      <c r="AS16" s="33">
        <f t="shared" si="127"/>
        <v>2.6294176865960139E-2</v>
      </c>
      <c r="AT16" s="53">
        <f t="shared" si="128"/>
        <v>310844.96577072685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0.64480484634836022</v>
      </c>
      <c r="AY16" s="33">
        <f t="shared" si="131"/>
        <v>2.6294176865960139E-2</v>
      </c>
      <c r="AZ16" s="53">
        <f t="shared" si="132"/>
        <v>310844.96577072685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0.64480484634836022</v>
      </c>
      <c r="BE16" s="33">
        <f t="shared" si="135"/>
        <v>2.6294176865960139E-2</v>
      </c>
      <c r="BF16" s="53">
        <f t="shared" si="136"/>
        <v>310844.96577072685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0.64480484634836022</v>
      </c>
      <c r="BK16" s="33">
        <f t="shared" si="139"/>
        <v>2.6294176865960139E-2</v>
      </c>
      <c r="BL16" s="53">
        <f t="shared" si="140"/>
        <v>310844.96577072685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0.64480484634836022</v>
      </c>
      <c r="BQ16" s="33">
        <f t="shared" si="143"/>
        <v>2.6294176865960139E-2</v>
      </c>
      <c r="BR16" s="53">
        <f t="shared" si="144"/>
        <v>310844.96577072685</v>
      </c>
      <c r="BS16" s="128">
        <f t="shared" si="145"/>
        <v>0</v>
      </c>
      <c r="BT16" s="76" t="s">
        <v>8</v>
      </c>
      <c r="BU16" s="30" t="s">
        <v>8</v>
      </c>
      <c r="BV16" s="35">
        <f t="shared" si="146"/>
        <v>0.64480484634836022</v>
      </c>
      <c r="BW16" s="33">
        <f t="shared" si="147"/>
        <v>2.6294176865960139E-2</v>
      </c>
      <c r="BX16" s="53">
        <f t="shared" si="148"/>
        <v>310844.96577072685</v>
      </c>
      <c r="BY16" s="128">
        <f t="shared" si="149"/>
        <v>0</v>
      </c>
      <c r="BZ16" s="76" t="s">
        <v>8</v>
      </c>
      <c r="CA16" s="30" t="s">
        <v>8</v>
      </c>
      <c r="CB16" s="35">
        <f t="shared" si="150"/>
        <v>0.64480484634836022</v>
      </c>
      <c r="CC16" s="33">
        <f t="shared" si="151"/>
        <v>2.6294176865960139E-2</v>
      </c>
      <c r="CD16" s="53">
        <f t="shared" si="152"/>
        <v>310844.96577072685</v>
      </c>
      <c r="CE16" s="128">
        <f t="shared" si="153"/>
        <v>0</v>
      </c>
      <c r="CF16" s="76" t="s">
        <v>8</v>
      </c>
      <c r="CG16" s="30" t="s">
        <v>8</v>
      </c>
      <c r="CH16" s="35">
        <f t="shared" si="154"/>
        <v>0.64480484634836022</v>
      </c>
      <c r="CI16" s="33">
        <f t="shared" si="155"/>
        <v>2.6294176865960139E-2</v>
      </c>
      <c r="CJ16" s="53">
        <f t="shared" si="156"/>
        <v>310844.96577072685</v>
      </c>
      <c r="CK16" s="128">
        <f t="shared" si="157"/>
        <v>0</v>
      </c>
      <c r="CL16" s="76" t="s">
        <v>8</v>
      </c>
      <c r="CM16" s="30" t="s">
        <v>8</v>
      </c>
      <c r="CN16" s="35">
        <f t="shared" si="158"/>
        <v>0.64480484634836022</v>
      </c>
      <c r="CO16" s="33">
        <f t="shared" si="159"/>
        <v>2.6294176865960139E-2</v>
      </c>
      <c r="CP16" s="53">
        <f t="shared" si="160"/>
        <v>310844.96577072685</v>
      </c>
      <c r="CQ16" s="128">
        <f t="shared" si="161"/>
        <v>0</v>
      </c>
      <c r="CR16" s="76" t="s">
        <v>8</v>
      </c>
      <c r="CS16" s="30" t="s">
        <v>8</v>
      </c>
      <c r="CT16" s="35">
        <f t="shared" si="162"/>
        <v>0.64480484634836022</v>
      </c>
      <c r="CU16" s="33">
        <f t="shared" si="163"/>
        <v>2.6294176865960139E-2</v>
      </c>
      <c r="CV16" s="53">
        <f t="shared" si="164"/>
        <v>310844.96577072685</v>
      </c>
      <c r="CW16" s="128">
        <f t="shared" si="165"/>
        <v>0</v>
      </c>
      <c r="CX16" s="76" t="s">
        <v>8</v>
      </c>
      <c r="CY16" s="30" t="s">
        <v>8</v>
      </c>
      <c r="CZ16" s="35">
        <f t="shared" si="166"/>
        <v>0.64480484634836022</v>
      </c>
      <c r="DA16" s="33">
        <f t="shared" si="167"/>
        <v>2.6294176865960139E-2</v>
      </c>
      <c r="DB16" s="53">
        <f t="shared" si="168"/>
        <v>310844.96577072685</v>
      </c>
      <c r="DC16" s="128">
        <f t="shared" si="169"/>
        <v>0</v>
      </c>
      <c r="DD16" s="76" t="s">
        <v>8</v>
      </c>
      <c r="DE16" s="30" t="s">
        <v>8</v>
      </c>
      <c r="DF16" s="35">
        <f t="shared" si="170"/>
        <v>0.64480484634836022</v>
      </c>
      <c r="DG16" s="33">
        <f t="shared" si="171"/>
        <v>2.6294176865960139E-2</v>
      </c>
      <c r="DH16" s="53">
        <f t="shared" si="172"/>
        <v>310844.96577072685</v>
      </c>
      <c r="DI16" s="128">
        <f t="shared" si="173"/>
        <v>0</v>
      </c>
      <c r="DJ16" s="76" t="s">
        <v>8</v>
      </c>
      <c r="DK16" s="30" t="s">
        <v>8</v>
      </c>
      <c r="DL16" s="35">
        <f t="shared" si="174"/>
        <v>0.64480484634836022</v>
      </c>
      <c r="DM16" s="33">
        <f t="shared" si="175"/>
        <v>2.6294176865960139E-2</v>
      </c>
      <c r="DN16" s="53">
        <f t="shared" si="176"/>
        <v>310844.96577072685</v>
      </c>
      <c r="DO16" s="128">
        <f t="shared" si="177"/>
        <v>0</v>
      </c>
      <c r="DP16" s="76" t="s">
        <v>8</v>
      </c>
      <c r="DQ16" s="30" t="s">
        <v>8</v>
      </c>
      <c r="DR16" s="35">
        <f t="shared" si="178"/>
        <v>0.64480484634836022</v>
      </c>
      <c r="DS16" s="33">
        <f t="shared" si="179"/>
        <v>2.6294176865960139E-2</v>
      </c>
      <c r="DT16" s="53">
        <f t="shared" si="180"/>
        <v>310844.96577072685</v>
      </c>
      <c r="DU16" s="128">
        <f t="shared" si="181"/>
        <v>0</v>
      </c>
      <c r="DV16" s="76" t="s">
        <v>8</v>
      </c>
      <c r="DW16" s="30" t="s">
        <v>8</v>
      </c>
      <c r="DX16" s="35">
        <f t="shared" si="182"/>
        <v>0.64480484634836022</v>
      </c>
      <c r="DY16" s="33">
        <f t="shared" si="183"/>
        <v>2.6294176865960139E-2</v>
      </c>
      <c r="DZ16" s="34">
        <f t="shared" si="184"/>
        <v>310844.96577072685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0.64480484634836022</v>
      </c>
      <c r="EE16" s="33">
        <f t="shared" si="187"/>
        <v>2.6294176865960139E-2</v>
      </c>
      <c r="EF16" s="34">
        <f t="shared" si="188"/>
        <v>310844.96577072685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0.64480484634836022</v>
      </c>
      <c r="EK16" s="33">
        <f t="shared" si="191"/>
        <v>2.6294176865960139E-2</v>
      </c>
      <c r="EL16" s="34">
        <f t="shared" si="192"/>
        <v>310844.96577072685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0.64480484634836022</v>
      </c>
      <c r="EQ16" s="33">
        <f t="shared" si="195"/>
        <v>2.6294176865960139E-2</v>
      </c>
      <c r="ER16" s="34">
        <f t="shared" si="196"/>
        <v>310844.96577072685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0.64480484634836022</v>
      </c>
      <c r="EW16" s="33">
        <f t="shared" si="199"/>
        <v>2.6294176865960139E-2</v>
      </c>
      <c r="EX16" s="34">
        <f t="shared" si="200"/>
        <v>310844.96577072685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0.64480484634836022</v>
      </c>
      <c r="FC16" s="33">
        <f t="shared" si="203"/>
        <v>2.6294176865960139E-2</v>
      </c>
      <c r="FD16" s="34">
        <f t="shared" si="204"/>
        <v>310844.96577072685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0.64480484634836022</v>
      </c>
      <c r="FI16" s="33">
        <f t="shared" si="207"/>
        <v>2.6294176865960139E-2</v>
      </c>
      <c r="FJ16" s="34">
        <f t="shared" si="208"/>
        <v>310844.96577072685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0.64480484634836022</v>
      </c>
      <c r="FO16" s="33">
        <f t="shared" si="211"/>
        <v>2.6294176865960139E-2</v>
      </c>
      <c r="FP16" s="34">
        <f t="shared" si="212"/>
        <v>310844.96577072685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0.64480484634836022</v>
      </c>
      <c r="FU16" s="33">
        <f t="shared" si="215"/>
        <v>2.6294176865960139E-2</v>
      </c>
      <c r="FV16" s="34">
        <f t="shared" si="216"/>
        <v>310844.96577072685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0.64480484634836022</v>
      </c>
      <c r="GA16" s="33">
        <f t="shared" si="219"/>
        <v>2.6294176865960139E-2</v>
      </c>
      <c r="GB16" s="34">
        <f t="shared" si="220"/>
        <v>310844.96577072685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0.64480484634836022</v>
      </c>
      <c r="GG16" s="33">
        <f t="shared" si="223"/>
        <v>2.6294176865960139E-2</v>
      </c>
      <c r="GH16" s="34">
        <f t="shared" si="224"/>
        <v>310844.96577072685</v>
      </c>
      <c r="GI16" s="128">
        <f t="shared" si="225"/>
        <v>0</v>
      </c>
      <c r="GJ16" s="176">
        <f t="shared" si="228"/>
        <v>2392135.3377839038</v>
      </c>
      <c r="GK16" s="99">
        <f t="shared" si="226"/>
        <v>2516096.2811021847</v>
      </c>
      <c r="GL16" s="217">
        <f t="shared" si="227"/>
        <v>0.64480484634836022</v>
      </c>
      <c r="GM16" s="221">
        <f t="shared" si="229"/>
        <v>2516096.2799999998</v>
      </c>
      <c r="GN16" s="209"/>
      <c r="GO16" s="232"/>
      <c r="GP16" s="212"/>
    </row>
    <row r="17" spans="1:198" s="25" customFormat="1" x14ac:dyDescent="0.25">
      <c r="A17" s="162" t="s">
        <v>182</v>
      </c>
      <c r="B17" s="164" t="s">
        <v>8</v>
      </c>
      <c r="C17" s="164" t="s">
        <v>8</v>
      </c>
      <c r="D17" s="164" t="s">
        <v>8</v>
      </c>
      <c r="E17" s="164" t="s">
        <v>8</v>
      </c>
      <c r="F17" s="164" t="s">
        <v>8</v>
      </c>
      <c r="G17" s="108">
        <f>'Исходные данные'!C19</f>
        <v>489</v>
      </c>
      <c r="H17" s="49">
        <f>'Исходные данные'!D19</f>
        <v>160041.00730873097</v>
      </c>
      <c r="I17" s="32">
        <f>'Расчет КРП'!G15</f>
        <v>6.6931294280625373</v>
      </c>
      <c r="J17" s="115" t="s">
        <v>8</v>
      </c>
      <c r="K17" s="119">
        <f t="shared" si="104"/>
        <v>3.9438979936229877E-2</v>
      </c>
      <c r="L17" s="77">
        <f t="shared" si="105"/>
        <v>112046.02824887107</v>
      </c>
      <c r="M17" s="73">
        <f t="shared" si="106"/>
        <v>6.705053483926128E-2</v>
      </c>
      <c r="N17" s="30" t="s">
        <v>8</v>
      </c>
      <c r="O17" s="33">
        <f t="shared" si="107"/>
        <v>9.4076804900090752E-2</v>
      </c>
      <c r="P17" s="34">
        <f t="shared" si="108"/>
        <v>452309.83757685433</v>
      </c>
      <c r="Q17" s="80">
        <f t="shared" si="109"/>
        <v>452309.83757685433</v>
      </c>
      <c r="R17" s="169" t="s">
        <v>8</v>
      </c>
      <c r="S17" s="30" t="s">
        <v>8</v>
      </c>
      <c r="T17" s="35">
        <f t="shared" si="110"/>
        <v>0.1785134586806546</v>
      </c>
      <c r="U17" s="33">
        <f t="shared" si="111"/>
        <v>8.8565940448677771E-2</v>
      </c>
      <c r="V17" s="53">
        <f t="shared" si="112"/>
        <v>545337.16264824674</v>
      </c>
      <c r="W17" s="80">
        <f t="shared" si="113"/>
        <v>545337.16264824674</v>
      </c>
      <c r="X17" s="76" t="s">
        <v>8</v>
      </c>
      <c r="Y17" s="30" t="s">
        <v>8</v>
      </c>
      <c r="Z17" s="35">
        <f t="shared" si="114"/>
        <v>0.31290114954712789</v>
      </c>
      <c r="AA17" s="33">
        <f t="shared" si="115"/>
        <v>6.8434403056768733E-2</v>
      </c>
      <c r="AB17" s="53">
        <f t="shared" si="116"/>
        <v>526914.70468522317</v>
      </c>
      <c r="AC17" s="80">
        <f t="shared" si="117"/>
        <v>526914.70468522317</v>
      </c>
      <c r="AD17" s="76" t="s">
        <v>8</v>
      </c>
      <c r="AE17" s="30" t="s">
        <v>8</v>
      </c>
      <c r="AF17" s="35">
        <f t="shared" si="118"/>
        <v>0.44274898552142272</v>
      </c>
      <c r="AG17" s="33">
        <f t="shared" si="119"/>
        <v>5.2553179764489755E-2</v>
      </c>
      <c r="AH17" s="53">
        <f t="shared" si="120"/>
        <v>484124.87901540089</v>
      </c>
      <c r="AI17" s="80">
        <f t="shared" si="121"/>
        <v>484124.87901540089</v>
      </c>
      <c r="AJ17" s="76" t="s">
        <v>8</v>
      </c>
      <c r="AK17" s="30" t="s">
        <v>8</v>
      </c>
      <c r="AL17" s="35">
        <f t="shared" si="122"/>
        <v>0.56205210483562174</v>
      </c>
      <c r="AM17" s="33">
        <f t="shared" si="123"/>
        <v>3.510875572964367E-2</v>
      </c>
      <c r="AN17" s="53">
        <f t="shared" si="124"/>
        <v>371585.14243277762</v>
      </c>
      <c r="AO17" s="80">
        <f t="shared" si="125"/>
        <v>336678.71103780018</v>
      </c>
      <c r="AP17" s="76" t="s">
        <v>8</v>
      </c>
      <c r="AQ17" s="30" t="s">
        <v>8</v>
      </c>
      <c r="AR17" s="35">
        <f t="shared" si="126"/>
        <v>0.64501999633333507</v>
      </c>
      <c r="AS17" s="33">
        <f t="shared" si="127"/>
        <v>2.607902688098529E-2</v>
      </c>
      <c r="AT17" s="53">
        <f t="shared" si="128"/>
        <v>301403.80274909473</v>
      </c>
      <c r="AU17" s="80">
        <f t="shared" si="129"/>
        <v>0</v>
      </c>
      <c r="AV17" s="76" t="s">
        <v>8</v>
      </c>
      <c r="AW17" s="30" t="s">
        <v>8</v>
      </c>
      <c r="AX17" s="35">
        <f t="shared" si="130"/>
        <v>0.64501999633333507</v>
      </c>
      <c r="AY17" s="33">
        <f t="shared" si="131"/>
        <v>2.607902688098529E-2</v>
      </c>
      <c r="AZ17" s="53">
        <f t="shared" si="132"/>
        <v>301403.80274909473</v>
      </c>
      <c r="BA17" s="80">
        <f t="shared" si="133"/>
        <v>0</v>
      </c>
      <c r="BB17" s="76" t="s">
        <v>8</v>
      </c>
      <c r="BC17" s="30" t="s">
        <v>8</v>
      </c>
      <c r="BD17" s="35">
        <f t="shared" si="134"/>
        <v>0.64501999633333507</v>
      </c>
      <c r="BE17" s="33">
        <f t="shared" si="135"/>
        <v>2.607902688098529E-2</v>
      </c>
      <c r="BF17" s="53">
        <f t="shared" si="136"/>
        <v>301403.80274909473</v>
      </c>
      <c r="BG17" s="80">
        <f t="shared" si="137"/>
        <v>0</v>
      </c>
      <c r="BH17" s="76" t="s">
        <v>8</v>
      </c>
      <c r="BI17" s="30" t="s">
        <v>8</v>
      </c>
      <c r="BJ17" s="35">
        <f t="shared" si="138"/>
        <v>0.64501999633333507</v>
      </c>
      <c r="BK17" s="33">
        <f t="shared" si="139"/>
        <v>2.607902688098529E-2</v>
      </c>
      <c r="BL17" s="53">
        <f t="shared" si="140"/>
        <v>301403.80274909473</v>
      </c>
      <c r="BM17" s="80">
        <f t="shared" si="141"/>
        <v>0</v>
      </c>
      <c r="BN17" s="76" t="s">
        <v>8</v>
      </c>
      <c r="BO17" s="30" t="s">
        <v>8</v>
      </c>
      <c r="BP17" s="35">
        <f t="shared" si="142"/>
        <v>0.64501999633333507</v>
      </c>
      <c r="BQ17" s="33">
        <f t="shared" si="143"/>
        <v>2.607902688098529E-2</v>
      </c>
      <c r="BR17" s="53">
        <f t="shared" si="144"/>
        <v>301403.80274909473</v>
      </c>
      <c r="BS17" s="128">
        <f t="shared" si="145"/>
        <v>0</v>
      </c>
      <c r="BT17" s="76" t="s">
        <v>8</v>
      </c>
      <c r="BU17" s="30" t="s">
        <v>8</v>
      </c>
      <c r="BV17" s="35">
        <f t="shared" si="146"/>
        <v>0.64501999633333507</v>
      </c>
      <c r="BW17" s="33">
        <f t="shared" si="147"/>
        <v>2.607902688098529E-2</v>
      </c>
      <c r="BX17" s="53">
        <f t="shared" si="148"/>
        <v>301403.80274909473</v>
      </c>
      <c r="BY17" s="128">
        <f t="shared" si="149"/>
        <v>0</v>
      </c>
      <c r="BZ17" s="76" t="s">
        <v>8</v>
      </c>
      <c r="CA17" s="30" t="s">
        <v>8</v>
      </c>
      <c r="CB17" s="35">
        <f t="shared" si="150"/>
        <v>0.64501999633333507</v>
      </c>
      <c r="CC17" s="33">
        <f t="shared" si="151"/>
        <v>2.607902688098529E-2</v>
      </c>
      <c r="CD17" s="53">
        <f t="shared" si="152"/>
        <v>301403.80274909473</v>
      </c>
      <c r="CE17" s="128">
        <f t="shared" si="153"/>
        <v>0</v>
      </c>
      <c r="CF17" s="76" t="s">
        <v>8</v>
      </c>
      <c r="CG17" s="30" t="s">
        <v>8</v>
      </c>
      <c r="CH17" s="35">
        <f t="shared" si="154"/>
        <v>0.64501999633333507</v>
      </c>
      <c r="CI17" s="33">
        <f t="shared" si="155"/>
        <v>2.607902688098529E-2</v>
      </c>
      <c r="CJ17" s="53">
        <f t="shared" si="156"/>
        <v>301403.80274909473</v>
      </c>
      <c r="CK17" s="128">
        <f t="shared" si="157"/>
        <v>0</v>
      </c>
      <c r="CL17" s="76" t="s">
        <v>8</v>
      </c>
      <c r="CM17" s="30" t="s">
        <v>8</v>
      </c>
      <c r="CN17" s="35">
        <f t="shared" si="158"/>
        <v>0.64501999633333507</v>
      </c>
      <c r="CO17" s="33">
        <f t="shared" si="159"/>
        <v>2.607902688098529E-2</v>
      </c>
      <c r="CP17" s="53">
        <f t="shared" si="160"/>
        <v>301403.80274909473</v>
      </c>
      <c r="CQ17" s="128">
        <f t="shared" si="161"/>
        <v>0</v>
      </c>
      <c r="CR17" s="76" t="s">
        <v>8</v>
      </c>
      <c r="CS17" s="30" t="s">
        <v>8</v>
      </c>
      <c r="CT17" s="35">
        <f t="shared" si="162"/>
        <v>0.64501999633333507</v>
      </c>
      <c r="CU17" s="33">
        <f t="shared" si="163"/>
        <v>2.607902688098529E-2</v>
      </c>
      <c r="CV17" s="53">
        <f t="shared" si="164"/>
        <v>301403.80274909473</v>
      </c>
      <c r="CW17" s="128">
        <f t="shared" si="165"/>
        <v>0</v>
      </c>
      <c r="CX17" s="76" t="s">
        <v>8</v>
      </c>
      <c r="CY17" s="30" t="s">
        <v>8</v>
      </c>
      <c r="CZ17" s="35">
        <f t="shared" si="166"/>
        <v>0.64501999633333507</v>
      </c>
      <c r="DA17" s="33">
        <f t="shared" si="167"/>
        <v>2.607902688098529E-2</v>
      </c>
      <c r="DB17" s="53">
        <f t="shared" si="168"/>
        <v>301403.80274909473</v>
      </c>
      <c r="DC17" s="128">
        <f t="shared" si="169"/>
        <v>0</v>
      </c>
      <c r="DD17" s="76" t="s">
        <v>8</v>
      </c>
      <c r="DE17" s="30" t="s">
        <v>8</v>
      </c>
      <c r="DF17" s="35">
        <f t="shared" si="170"/>
        <v>0.64501999633333507</v>
      </c>
      <c r="DG17" s="33">
        <f t="shared" si="171"/>
        <v>2.607902688098529E-2</v>
      </c>
      <c r="DH17" s="53">
        <f t="shared" si="172"/>
        <v>301403.80274909473</v>
      </c>
      <c r="DI17" s="128">
        <f t="shared" si="173"/>
        <v>0</v>
      </c>
      <c r="DJ17" s="76" t="s">
        <v>8</v>
      </c>
      <c r="DK17" s="30" t="s">
        <v>8</v>
      </c>
      <c r="DL17" s="35">
        <f t="shared" si="174"/>
        <v>0.64501999633333507</v>
      </c>
      <c r="DM17" s="33">
        <f t="shared" si="175"/>
        <v>2.607902688098529E-2</v>
      </c>
      <c r="DN17" s="53">
        <f t="shared" si="176"/>
        <v>301403.80274909473</v>
      </c>
      <c r="DO17" s="128">
        <f t="shared" si="177"/>
        <v>0</v>
      </c>
      <c r="DP17" s="76" t="s">
        <v>8</v>
      </c>
      <c r="DQ17" s="30" t="s">
        <v>8</v>
      </c>
      <c r="DR17" s="35">
        <f t="shared" si="178"/>
        <v>0.64501999633333507</v>
      </c>
      <c r="DS17" s="33">
        <f t="shared" si="179"/>
        <v>2.607902688098529E-2</v>
      </c>
      <c r="DT17" s="53">
        <f t="shared" si="180"/>
        <v>301403.80274909473</v>
      </c>
      <c r="DU17" s="128">
        <f t="shared" si="181"/>
        <v>0</v>
      </c>
      <c r="DV17" s="76" t="s">
        <v>8</v>
      </c>
      <c r="DW17" s="30" t="s">
        <v>8</v>
      </c>
      <c r="DX17" s="35">
        <f t="shared" si="182"/>
        <v>0.64501999633333507</v>
      </c>
      <c r="DY17" s="33">
        <f t="shared" si="183"/>
        <v>2.607902688098529E-2</v>
      </c>
      <c r="DZ17" s="34">
        <f t="shared" si="184"/>
        <v>301403.80274909473</v>
      </c>
      <c r="EA17" s="80">
        <f t="shared" si="185"/>
        <v>0</v>
      </c>
      <c r="EB17" s="76" t="s">
        <v>8</v>
      </c>
      <c r="EC17" s="30" t="s">
        <v>8</v>
      </c>
      <c r="ED17" s="35">
        <f t="shared" si="186"/>
        <v>0.64501999633333507</v>
      </c>
      <c r="EE17" s="33">
        <f t="shared" si="187"/>
        <v>2.607902688098529E-2</v>
      </c>
      <c r="EF17" s="34">
        <f t="shared" si="188"/>
        <v>301403.80274909473</v>
      </c>
      <c r="EG17" s="80">
        <f t="shared" si="189"/>
        <v>0</v>
      </c>
      <c r="EH17" s="76" t="s">
        <v>8</v>
      </c>
      <c r="EI17" s="30" t="s">
        <v>8</v>
      </c>
      <c r="EJ17" s="35">
        <f t="shared" si="190"/>
        <v>0.64501999633333507</v>
      </c>
      <c r="EK17" s="33">
        <f t="shared" si="191"/>
        <v>2.607902688098529E-2</v>
      </c>
      <c r="EL17" s="34">
        <f t="shared" si="192"/>
        <v>301403.80274909473</v>
      </c>
      <c r="EM17" s="80">
        <f t="shared" si="193"/>
        <v>0</v>
      </c>
      <c r="EN17" s="76" t="s">
        <v>8</v>
      </c>
      <c r="EO17" s="30" t="s">
        <v>8</v>
      </c>
      <c r="EP17" s="35">
        <f t="shared" si="194"/>
        <v>0.64501999633333507</v>
      </c>
      <c r="EQ17" s="33">
        <f t="shared" si="195"/>
        <v>2.607902688098529E-2</v>
      </c>
      <c r="ER17" s="34">
        <f t="shared" si="196"/>
        <v>301403.80274909473</v>
      </c>
      <c r="ES17" s="80">
        <f t="shared" si="197"/>
        <v>0</v>
      </c>
      <c r="ET17" s="76" t="s">
        <v>8</v>
      </c>
      <c r="EU17" s="30" t="s">
        <v>8</v>
      </c>
      <c r="EV17" s="35">
        <f t="shared" si="198"/>
        <v>0.64501999633333507</v>
      </c>
      <c r="EW17" s="33">
        <f t="shared" si="199"/>
        <v>2.607902688098529E-2</v>
      </c>
      <c r="EX17" s="34">
        <f t="shared" si="200"/>
        <v>301403.80274909473</v>
      </c>
      <c r="EY17" s="80">
        <f t="shared" si="201"/>
        <v>0</v>
      </c>
      <c r="EZ17" s="76" t="s">
        <v>8</v>
      </c>
      <c r="FA17" s="30" t="s">
        <v>8</v>
      </c>
      <c r="FB17" s="35">
        <f t="shared" si="202"/>
        <v>0.64501999633333507</v>
      </c>
      <c r="FC17" s="33">
        <f t="shared" si="203"/>
        <v>2.607902688098529E-2</v>
      </c>
      <c r="FD17" s="34">
        <f t="shared" si="204"/>
        <v>301403.80274909473</v>
      </c>
      <c r="FE17" s="80">
        <f t="shared" si="205"/>
        <v>0</v>
      </c>
      <c r="FF17" s="76" t="s">
        <v>8</v>
      </c>
      <c r="FG17" s="30" t="s">
        <v>8</v>
      </c>
      <c r="FH17" s="35">
        <f t="shared" si="206"/>
        <v>0.64501999633333507</v>
      </c>
      <c r="FI17" s="33">
        <f t="shared" si="207"/>
        <v>2.607902688098529E-2</v>
      </c>
      <c r="FJ17" s="34">
        <f t="shared" si="208"/>
        <v>301403.80274909473</v>
      </c>
      <c r="FK17" s="80">
        <f t="shared" si="209"/>
        <v>0</v>
      </c>
      <c r="FL17" s="76" t="s">
        <v>8</v>
      </c>
      <c r="FM17" s="30" t="s">
        <v>8</v>
      </c>
      <c r="FN17" s="35">
        <f t="shared" si="210"/>
        <v>0.64501999633333507</v>
      </c>
      <c r="FO17" s="33">
        <f t="shared" si="211"/>
        <v>2.607902688098529E-2</v>
      </c>
      <c r="FP17" s="34">
        <f t="shared" si="212"/>
        <v>301403.80274909473</v>
      </c>
      <c r="FQ17" s="80">
        <f t="shared" si="213"/>
        <v>0</v>
      </c>
      <c r="FR17" s="76" t="s">
        <v>8</v>
      </c>
      <c r="FS17" s="30" t="s">
        <v>8</v>
      </c>
      <c r="FT17" s="35">
        <f t="shared" si="214"/>
        <v>0.64501999633333507</v>
      </c>
      <c r="FU17" s="33">
        <f t="shared" si="215"/>
        <v>2.607902688098529E-2</v>
      </c>
      <c r="FV17" s="34">
        <f t="shared" si="216"/>
        <v>301403.80274909473</v>
      </c>
      <c r="FW17" s="80">
        <f t="shared" si="217"/>
        <v>0</v>
      </c>
      <c r="FX17" s="76" t="s">
        <v>8</v>
      </c>
      <c r="FY17" s="30" t="s">
        <v>8</v>
      </c>
      <c r="FZ17" s="35">
        <f t="shared" si="218"/>
        <v>0.64501999633333507</v>
      </c>
      <c r="GA17" s="33">
        <f t="shared" si="219"/>
        <v>2.607902688098529E-2</v>
      </c>
      <c r="GB17" s="34">
        <f t="shared" si="220"/>
        <v>301403.80274909473</v>
      </c>
      <c r="GC17" s="80">
        <f t="shared" si="221"/>
        <v>0</v>
      </c>
      <c r="GD17" s="76" t="s">
        <v>8</v>
      </c>
      <c r="GE17" s="30" t="s">
        <v>8</v>
      </c>
      <c r="GF17" s="35">
        <f t="shared" si="222"/>
        <v>0.64501999633333507</v>
      </c>
      <c r="GG17" s="33">
        <f t="shared" si="223"/>
        <v>2.607902688098529E-2</v>
      </c>
      <c r="GH17" s="34">
        <f t="shared" si="224"/>
        <v>301403.80274909473</v>
      </c>
      <c r="GI17" s="128">
        <f t="shared" si="225"/>
        <v>0</v>
      </c>
      <c r="GJ17" s="176">
        <f t="shared" si="228"/>
        <v>2345365.2949635256</v>
      </c>
      <c r="GK17" s="99">
        <f t="shared" si="226"/>
        <v>2457411.3232123968</v>
      </c>
      <c r="GL17" s="217">
        <f t="shared" si="227"/>
        <v>0.64501999633333507</v>
      </c>
      <c r="GM17" s="221">
        <f t="shared" si="229"/>
        <v>2457411.3199999998</v>
      </c>
      <c r="GN17" s="209"/>
      <c r="GO17" s="232"/>
      <c r="GP17" s="212"/>
    </row>
    <row r="18" spans="1:198" s="25" customFormat="1" x14ac:dyDescent="0.25">
      <c r="A18" s="162" t="s">
        <v>183</v>
      </c>
      <c r="B18" s="164" t="s">
        <v>8</v>
      </c>
      <c r="C18" s="164" t="s">
        <v>8</v>
      </c>
      <c r="D18" s="164" t="s">
        <v>8</v>
      </c>
      <c r="E18" s="164" t="s">
        <v>8</v>
      </c>
      <c r="F18" s="164" t="s">
        <v>8</v>
      </c>
      <c r="G18" s="108">
        <f>'Исходные данные'!C20</f>
        <v>87</v>
      </c>
      <c r="H18" s="49">
        <f>'Исходные данные'!D20</f>
        <v>39982.810895710252</v>
      </c>
      <c r="I18" s="32">
        <f>'Расчет КРП'!G16</f>
        <v>15.930345833995442</v>
      </c>
      <c r="J18" s="115" t="s">
        <v>8</v>
      </c>
      <c r="K18" s="119">
        <f t="shared" si="104"/>
        <v>2.3268122739579841E-2</v>
      </c>
      <c r="L18" s="77">
        <f t="shared" si="105"/>
        <v>19934.569443050677</v>
      </c>
      <c r="M18" s="73">
        <f t="shared" si="106"/>
        <v>3.4869108217350397E-2</v>
      </c>
      <c r="N18" s="30" t="s">
        <v>8</v>
      </c>
      <c r="O18" s="33">
        <f t="shared" si="107"/>
        <v>0.12625823152200163</v>
      </c>
      <c r="P18" s="34">
        <f t="shared" si="108"/>
        <v>257051.14971678474</v>
      </c>
      <c r="Q18" s="80">
        <f t="shared" si="109"/>
        <v>257051.14971678474</v>
      </c>
      <c r="R18" s="169" t="s">
        <v>8</v>
      </c>
      <c r="S18" s="30" t="s">
        <v>8</v>
      </c>
      <c r="T18" s="35">
        <f t="shared" si="110"/>
        <v>0.18446083446093903</v>
      </c>
      <c r="U18" s="33">
        <f t="shared" si="111"/>
        <v>8.2618564668393346E-2</v>
      </c>
      <c r="V18" s="53">
        <f t="shared" si="112"/>
        <v>215418.19155077473</v>
      </c>
      <c r="W18" s="80">
        <f t="shared" si="113"/>
        <v>215418.19155077473</v>
      </c>
      <c r="X18" s="76" t="s">
        <v>8</v>
      </c>
      <c r="Y18" s="30" t="s">
        <v>8</v>
      </c>
      <c r="Z18" s="35">
        <f t="shared" si="114"/>
        <v>0.30982412956332328</v>
      </c>
      <c r="AA18" s="33">
        <f t="shared" si="115"/>
        <v>7.1511423040573341E-2</v>
      </c>
      <c r="AB18" s="53">
        <f t="shared" si="116"/>
        <v>233156.55512898706</v>
      </c>
      <c r="AC18" s="80">
        <f t="shared" si="117"/>
        <v>233156.55512898706</v>
      </c>
      <c r="AD18" s="76" t="s">
        <v>8</v>
      </c>
      <c r="AE18" s="30" t="s">
        <v>8</v>
      </c>
      <c r="AF18" s="35">
        <f t="shared" si="118"/>
        <v>0.44551032122277323</v>
      </c>
      <c r="AG18" s="33">
        <f t="shared" si="119"/>
        <v>4.9791844063139246E-2</v>
      </c>
      <c r="AH18" s="53">
        <f t="shared" si="120"/>
        <v>194232.98665485031</v>
      </c>
      <c r="AI18" s="80">
        <f t="shared" si="121"/>
        <v>194232.98665485031</v>
      </c>
      <c r="AJ18" s="76" t="s">
        <v>8</v>
      </c>
      <c r="AK18" s="30" t="s">
        <v>8</v>
      </c>
      <c r="AL18" s="35">
        <f t="shared" si="122"/>
        <v>0.55854481960630531</v>
      </c>
      <c r="AM18" s="33">
        <f t="shared" si="123"/>
        <v>3.8616040958960096E-2</v>
      </c>
      <c r="AN18" s="53">
        <f t="shared" si="124"/>
        <v>173068.09899364752</v>
      </c>
      <c r="AO18" s="80">
        <f t="shared" si="125"/>
        <v>156810.21073517442</v>
      </c>
      <c r="AP18" s="76" t="s">
        <v>8</v>
      </c>
      <c r="AQ18" s="30" t="s">
        <v>8</v>
      </c>
      <c r="AR18" s="35">
        <f t="shared" si="126"/>
        <v>0.64980101566822057</v>
      </c>
      <c r="AS18" s="33">
        <f t="shared" si="127"/>
        <v>2.1298007546099784E-2</v>
      </c>
      <c r="AT18" s="53">
        <f t="shared" si="128"/>
        <v>104232.39006437638</v>
      </c>
      <c r="AU18" s="80">
        <f t="shared" si="129"/>
        <v>0</v>
      </c>
      <c r="AV18" s="76" t="s">
        <v>8</v>
      </c>
      <c r="AW18" s="30" t="s">
        <v>8</v>
      </c>
      <c r="AX18" s="35">
        <f t="shared" si="130"/>
        <v>0.64980101566822057</v>
      </c>
      <c r="AY18" s="33">
        <f t="shared" si="131"/>
        <v>2.1298007546099784E-2</v>
      </c>
      <c r="AZ18" s="53">
        <f t="shared" si="132"/>
        <v>104232.39006437638</v>
      </c>
      <c r="BA18" s="80">
        <f t="shared" si="133"/>
        <v>0</v>
      </c>
      <c r="BB18" s="76" t="s">
        <v>8</v>
      </c>
      <c r="BC18" s="30" t="s">
        <v>8</v>
      </c>
      <c r="BD18" s="35">
        <f t="shared" si="134"/>
        <v>0.64980101566822057</v>
      </c>
      <c r="BE18" s="33">
        <f t="shared" si="135"/>
        <v>2.1298007546099784E-2</v>
      </c>
      <c r="BF18" s="53">
        <f t="shared" si="136"/>
        <v>104232.39006437638</v>
      </c>
      <c r="BG18" s="80">
        <f t="shared" si="137"/>
        <v>0</v>
      </c>
      <c r="BH18" s="76" t="s">
        <v>8</v>
      </c>
      <c r="BI18" s="30" t="s">
        <v>8</v>
      </c>
      <c r="BJ18" s="35">
        <f t="shared" si="138"/>
        <v>0.64980101566822057</v>
      </c>
      <c r="BK18" s="33">
        <f t="shared" si="139"/>
        <v>2.1298007546099784E-2</v>
      </c>
      <c r="BL18" s="53">
        <f t="shared" si="140"/>
        <v>104232.39006437638</v>
      </c>
      <c r="BM18" s="80">
        <f t="shared" si="141"/>
        <v>0</v>
      </c>
      <c r="BN18" s="76" t="s">
        <v>8</v>
      </c>
      <c r="BO18" s="30" t="s">
        <v>8</v>
      </c>
      <c r="BP18" s="35">
        <f t="shared" si="142"/>
        <v>0.64980101566822057</v>
      </c>
      <c r="BQ18" s="33">
        <f t="shared" si="143"/>
        <v>2.1298007546099784E-2</v>
      </c>
      <c r="BR18" s="53">
        <f t="shared" si="144"/>
        <v>104232.39006437638</v>
      </c>
      <c r="BS18" s="128">
        <f t="shared" si="145"/>
        <v>0</v>
      </c>
      <c r="BT18" s="76" t="s">
        <v>8</v>
      </c>
      <c r="BU18" s="30" t="s">
        <v>8</v>
      </c>
      <c r="BV18" s="35">
        <f t="shared" si="146"/>
        <v>0.64980101566822057</v>
      </c>
      <c r="BW18" s="33">
        <f t="shared" si="147"/>
        <v>2.1298007546099784E-2</v>
      </c>
      <c r="BX18" s="53">
        <f t="shared" si="148"/>
        <v>104232.39006437638</v>
      </c>
      <c r="BY18" s="128">
        <f t="shared" si="149"/>
        <v>0</v>
      </c>
      <c r="BZ18" s="76" t="s">
        <v>8</v>
      </c>
      <c r="CA18" s="30" t="s">
        <v>8</v>
      </c>
      <c r="CB18" s="35">
        <f t="shared" si="150"/>
        <v>0.64980101566822057</v>
      </c>
      <c r="CC18" s="33">
        <f t="shared" si="151"/>
        <v>2.1298007546099784E-2</v>
      </c>
      <c r="CD18" s="53">
        <f t="shared" si="152"/>
        <v>104232.39006437638</v>
      </c>
      <c r="CE18" s="128">
        <f t="shared" si="153"/>
        <v>0</v>
      </c>
      <c r="CF18" s="76" t="s">
        <v>8</v>
      </c>
      <c r="CG18" s="30" t="s">
        <v>8</v>
      </c>
      <c r="CH18" s="35">
        <f t="shared" si="154"/>
        <v>0.64980101566822057</v>
      </c>
      <c r="CI18" s="33">
        <f t="shared" si="155"/>
        <v>2.1298007546099784E-2</v>
      </c>
      <c r="CJ18" s="53">
        <f t="shared" si="156"/>
        <v>104232.39006437638</v>
      </c>
      <c r="CK18" s="128">
        <f t="shared" si="157"/>
        <v>0</v>
      </c>
      <c r="CL18" s="76" t="s">
        <v>8</v>
      </c>
      <c r="CM18" s="30" t="s">
        <v>8</v>
      </c>
      <c r="CN18" s="35">
        <f t="shared" si="158"/>
        <v>0.64980101566822057</v>
      </c>
      <c r="CO18" s="33">
        <f t="shared" si="159"/>
        <v>2.1298007546099784E-2</v>
      </c>
      <c r="CP18" s="53">
        <f t="shared" si="160"/>
        <v>104232.39006437638</v>
      </c>
      <c r="CQ18" s="128">
        <f t="shared" si="161"/>
        <v>0</v>
      </c>
      <c r="CR18" s="76" t="s">
        <v>8</v>
      </c>
      <c r="CS18" s="30" t="s">
        <v>8</v>
      </c>
      <c r="CT18" s="35">
        <f t="shared" si="162"/>
        <v>0.64980101566822057</v>
      </c>
      <c r="CU18" s="33">
        <f t="shared" si="163"/>
        <v>2.1298007546099784E-2</v>
      </c>
      <c r="CV18" s="53">
        <f t="shared" si="164"/>
        <v>104232.39006437638</v>
      </c>
      <c r="CW18" s="128">
        <f t="shared" si="165"/>
        <v>0</v>
      </c>
      <c r="CX18" s="76" t="s">
        <v>8</v>
      </c>
      <c r="CY18" s="30" t="s">
        <v>8</v>
      </c>
      <c r="CZ18" s="35">
        <f t="shared" si="166"/>
        <v>0.64980101566822057</v>
      </c>
      <c r="DA18" s="33">
        <f t="shared" si="167"/>
        <v>2.1298007546099784E-2</v>
      </c>
      <c r="DB18" s="53">
        <f t="shared" si="168"/>
        <v>104232.39006437638</v>
      </c>
      <c r="DC18" s="128">
        <f t="shared" si="169"/>
        <v>0</v>
      </c>
      <c r="DD18" s="76" t="s">
        <v>8</v>
      </c>
      <c r="DE18" s="30" t="s">
        <v>8</v>
      </c>
      <c r="DF18" s="35">
        <f t="shared" si="170"/>
        <v>0.64980101566822057</v>
      </c>
      <c r="DG18" s="33">
        <f t="shared" si="171"/>
        <v>2.1298007546099784E-2</v>
      </c>
      <c r="DH18" s="53">
        <f t="shared" si="172"/>
        <v>104232.39006437638</v>
      </c>
      <c r="DI18" s="128">
        <f t="shared" si="173"/>
        <v>0</v>
      </c>
      <c r="DJ18" s="76" t="s">
        <v>8</v>
      </c>
      <c r="DK18" s="30" t="s">
        <v>8</v>
      </c>
      <c r="DL18" s="35">
        <f t="shared" si="174"/>
        <v>0.64980101566822057</v>
      </c>
      <c r="DM18" s="33">
        <f t="shared" si="175"/>
        <v>2.1298007546099784E-2</v>
      </c>
      <c r="DN18" s="53">
        <f t="shared" si="176"/>
        <v>104232.39006437638</v>
      </c>
      <c r="DO18" s="128">
        <f t="shared" si="177"/>
        <v>0</v>
      </c>
      <c r="DP18" s="76" t="s">
        <v>8</v>
      </c>
      <c r="DQ18" s="30" t="s">
        <v>8</v>
      </c>
      <c r="DR18" s="35">
        <f t="shared" si="178"/>
        <v>0.64980101566822057</v>
      </c>
      <c r="DS18" s="33">
        <f t="shared" si="179"/>
        <v>2.1298007546099784E-2</v>
      </c>
      <c r="DT18" s="53">
        <f t="shared" si="180"/>
        <v>104232.39006437638</v>
      </c>
      <c r="DU18" s="128">
        <f t="shared" si="181"/>
        <v>0</v>
      </c>
      <c r="DV18" s="76" t="s">
        <v>8</v>
      </c>
      <c r="DW18" s="30" t="s">
        <v>8</v>
      </c>
      <c r="DX18" s="35">
        <f t="shared" si="182"/>
        <v>0.64980101566822057</v>
      </c>
      <c r="DY18" s="33">
        <f t="shared" si="183"/>
        <v>2.1298007546099784E-2</v>
      </c>
      <c r="DZ18" s="34">
        <f t="shared" si="184"/>
        <v>104232.39006437638</v>
      </c>
      <c r="EA18" s="80">
        <f t="shared" si="185"/>
        <v>0</v>
      </c>
      <c r="EB18" s="76" t="s">
        <v>8</v>
      </c>
      <c r="EC18" s="30" t="s">
        <v>8</v>
      </c>
      <c r="ED18" s="35">
        <f t="shared" si="186"/>
        <v>0.64980101566822057</v>
      </c>
      <c r="EE18" s="33">
        <f t="shared" si="187"/>
        <v>2.1298007546099784E-2</v>
      </c>
      <c r="EF18" s="34">
        <f t="shared" si="188"/>
        <v>104232.39006437638</v>
      </c>
      <c r="EG18" s="80">
        <f t="shared" si="189"/>
        <v>0</v>
      </c>
      <c r="EH18" s="76" t="s">
        <v>8</v>
      </c>
      <c r="EI18" s="30" t="s">
        <v>8</v>
      </c>
      <c r="EJ18" s="35">
        <f t="shared" si="190"/>
        <v>0.64980101566822057</v>
      </c>
      <c r="EK18" s="33">
        <f t="shared" si="191"/>
        <v>2.1298007546099784E-2</v>
      </c>
      <c r="EL18" s="34">
        <f t="shared" si="192"/>
        <v>104232.39006437638</v>
      </c>
      <c r="EM18" s="80">
        <f t="shared" si="193"/>
        <v>0</v>
      </c>
      <c r="EN18" s="76" t="s">
        <v>8</v>
      </c>
      <c r="EO18" s="30" t="s">
        <v>8</v>
      </c>
      <c r="EP18" s="35">
        <f t="shared" si="194"/>
        <v>0.64980101566822057</v>
      </c>
      <c r="EQ18" s="33">
        <f t="shared" si="195"/>
        <v>2.1298007546099784E-2</v>
      </c>
      <c r="ER18" s="34">
        <f t="shared" si="196"/>
        <v>104232.39006437638</v>
      </c>
      <c r="ES18" s="80">
        <f t="shared" si="197"/>
        <v>0</v>
      </c>
      <c r="ET18" s="76" t="s">
        <v>8</v>
      </c>
      <c r="EU18" s="30" t="s">
        <v>8</v>
      </c>
      <c r="EV18" s="35">
        <f t="shared" si="198"/>
        <v>0.64980101566822057</v>
      </c>
      <c r="EW18" s="33">
        <f t="shared" si="199"/>
        <v>2.1298007546099784E-2</v>
      </c>
      <c r="EX18" s="34">
        <f t="shared" si="200"/>
        <v>104232.39006437638</v>
      </c>
      <c r="EY18" s="80">
        <f t="shared" si="201"/>
        <v>0</v>
      </c>
      <c r="EZ18" s="76" t="s">
        <v>8</v>
      </c>
      <c r="FA18" s="30" t="s">
        <v>8</v>
      </c>
      <c r="FB18" s="35">
        <f t="shared" si="202"/>
        <v>0.64980101566822057</v>
      </c>
      <c r="FC18" s="33">
        <f t="shared" si="203"/>
        <v>2.1298007546099784E-2</v>
      </c>
      <c r="FD18" s="34">
        <f t="shared" si="204"/>
        <v>104232.39006437638</v>
      </c>
      <c r="FE18" s="80">
        <f t="shared" si="205"/>
        <v>0</v>
      </c>
      <c r="FF18" s="76" t="s">
        <v>8</v>
      </c>
      <c r="FG18" s="30" t="s">
        <v>8</v>
      </c>
      <c r="FH18" s="35">
        <f t="shared" si="206"/>
        <v>0.64980101566822057</v>
      </c>
      <c r="FI18" s="33">
        <f t="shared" si="207"/>
        <v>2.1298007546099784E-2</v>
      </c>
      <c r="FJ18" s="34">
        <f t="shared" si="208"/>
        <v>104232.39006437638</v>
      </c>
      <c r="FK18" s="80">
        <f t="shared" si="209"/>
        <v>0</v>
      </c>
      <c r="FL18" s="76" t="s">
        <v>8</v>
      </c>
      <c r="FM18" s="30" t="s">
        <v>8</v>
      </c>
      <c r="FN18" s="35">
        <f t="shared" si="210"/>
        <v>0.64980101566822057</v>
      </c>
      <c r="FO18" s="33">
        <f t="shared" si="211"/>
        <v>2.1298007546099784E-2</v>
      </c>
      <c r="FP18" s="34">
        <f t="shared" si="212"/>
        <v>104232.39006437638</v>
      </c>
      <c r="FQ18" s="80">
        <f t="shared" si="213"/>
        <v>0</v>
      </c>
      <c r="FR18" s="76" t="s">
        <v>8</v>
      </c>
      <c r="FS18" s="30" t="s">
        <v>8</v>
      </c>
      <c r="FT18" s="35">
        <f t="shared" si="214"/>
        <v>0.64980101566822057</v>
      </c>
      <c r="FU18" s="33">
        <f t="shared" si="215"/>
        <v>2.1298007546099784E-2</v>
      </c>
      <c r="FV18" s="34">
        <f t="shared" si="216"/>
        <v>104232.39006437638</v>
      </c>
      <c r="FW18" s="80">
        <f t="shared" si="217"/>
        <v>0</v>
      </c>
      <c r="FX18" s="76" t="s">
        <v>8</v>
      </c>
      <c r="FY18" s="30" t="s">
        <v>8</v>
      </c>
      <c r="FZ18" s="35">
        <f t="shared" si="218"/>
        <v>0.64980101566822057</v>
      </c>
      <c r="GA18" s="33">
        <f t="shared" si="219"/>
        <v>2.1298007546099784E-2</v>
      </c>
      <c r="GB18" s="34">
        <f t="shared" si="220"/>
        <v>104232.39006437638</v>
      </c>
      <c r="GC18" s="80">
        <f t="shared" si="221"/>
        <v>0</v>
      </c>
      <c r="GD18" s="76" t="s">
        <v>8</v>
      </c>
      <c r="GE18" s="30" t="s">
        <v>8</v>
      </c>
      <c r="GF18" s="35">
        <f t="shared" si="222"/>
        <v>0.64980101566822057</v>
      </c>
      <c r="GG18" s="33">
        <f t="shared" si="223"/>
        <v>2.1298007546099784E-2</v>
      </c>
      <c r="GH18" s="34">
        <f t="shared" si="224"/>
        <v>104232.39006437638</v>
      </c>
      <c r="GI18" s="128">
        <f t="shared" si="225"/>
        <v>0</v>
      </c>
      <c r="GJ18" s="176">
        <f t="shared" si="228"/>
        <v>1056669.0937865712</v>
      </c>
      <c r="GK18" s="99">
        <f t="shared" si="226"/>
        <v>1076603.6632296219</v>
      </c>
      <c r="GL18" s="217">
        <f t="shared" si="227"/>
        <v>0.64980101566822046</v>
      </c>
      <c r="GM18" s="221">
        <f t="shared" si="229"/>
        <v>1076603.6599999999</v>
      </c>
      <c r="GN18" s="209"/>
      <c r="GO18" s="232"/>
      <c r="GP18" s="212"/>
    </row>
    <row r="19" spans="1:198" s="25" customFormat="1" x14ac:dyDescent="0.25">
      <c r="A19" s="162" t="s">
        <v>184</v>
      </c>
      <c r="B19" s="164" t="s">
        <v>8</v>
      </c>
      <c r="C19" s="164" t="s">
        <v>8</v>
      </c>
      <c r="D19" s="164" t="s">
        <v>8</v>
      </c>
      <c r="E19" s="164" t="s">
        <v>8</v>
      </c>
      <c r="F19" s="164" t="s">
        <v>8</v>
      </c>
      <c r="G19" s="108">
        <f>'Исходные данные'!C21</f>
        <v>527</v>
      </c>
      <c r="H19" s="49">
        <f>'Исходные данные'!D21</f>
        <v>140387.02487046795</v>
      </c>
      <c r="I19" s="32">
        <f>'Расчет КРП'!G17</f>
        <v>4.8410037950664133</v>
      </c>
      <c r="J19" s="115" t="s">
        <v>8</v>
      </c>
      <c r="K19" s="119">
        <f t="shared" si="104"/>
        <v>4.4382668640450651E-2</v>
      </c>
      <c r="L19" s="77">
        <f t="shared" si="105"/>
        <v>120753.08156882423</v>
      </c>
      <c r="M19" s="73">
        <f t="shared" si="106"/>
        <v>8.2558162504840077E-2</v>
      </c>
      <c r="N19" s="30" t="s">
        <v>8</v>
      </c>
      <c r="O19" s="33">
        <f t="shared" si="107"/>
        <v>7.8569177234511955E-2</v>
      </c>
      <c r="P19" s="34">
        <f t="shared" si="108"/>
        <v>294451.40821358724</v>
      </c>
      <c r="Q19" s="80">
        <f t="shared" si="109"/>
        <v>294451.40821358724</v>
      </c>
      <c r="R19" s="169" t="s">
        <v>8</v>
      </c>
      <c r="S19" s="30" t="s">
        <v>8</v>
      </c>
      <c r="T19" s="35">
        <f t="shared" si="110"/>
        <v>0.17564752951376253</v>
      </c>
      <c r="U19" s="33">
        <f t="shared" si="111"/>
        <v>9.1431869615569844E-2</v>
      </c>
      <c r="V19" s="53">
        <f t="shared" si="112"/>
        <v>438837.68156255927</v>
      </c>
      <c r="W19" s="80">
        <f t="shared" si="113"/>
        <v>438837.68156255927</v>
      </c>
      <c r="X19" s="76" t="s">
        <v>8</v>
      </c>
      <c r="Y19" s="30" t="s">
        <v>8</v>
      </c>
      <c r="Z19" s="35">
        <f t="shared" si="114"/>
        <v>0.3143839079341007</v>
      </c>
      <c r="AA19" s="33">
        <f t="shared" si="115"/>
        <v>6.6951644669795918E-2</v>
      </c>
      <c r="AB19" s="53">
        <f t="shared" si="116"/>
        <v>401823.23082253581</v>
      </c>
      <c r="AC19" s="80">
        <f t="shared" si="117"/>
        <v>401823.23082253581</v>
      </c>
      <c r="AD19" s="76" t="s">
        <v>8</v>
      </c>
      <c r="AE19" s="30" t="s">
        <v>8</v>
      </c>
      <c r="AF19" s="35">
        <f t="shared" si="118"/>
        <v>0.44141834948656578</v>
      </c>
      <c r="AG19" s="33">
        <f t="shared" si="119"/>
        <v>5.3883815799346702E-2</v>
      </c>
      <c r="AH19" s="53">
        <f t="shared" si="120"/>
        <v>386923.13846927264</v>
      </c>
      <c r="AI19" s="80">
        <f t="shared" si="121"/>
        <v>386923.13846927264</v>
      </c>
      <c r="AJ19" s="76" t="s">
        <v>8</v>
      </c>
      <c r="AK19" s="30" t="s">
        <v>8</v>
      </c>
      <c r="AL19" s="35">
        <f t="shared" si="122"/>
        <v>0.56374219999803432</v>
      </c>
      <c r="AM19" s="33">
        <f t="shared" si="123"/>
        <v>3.3418660567231084E-2</v>
      </c>
      <c r="AN19" s="53">
        <f t="shared" si="124"/>
        <v>275701.98804299533</v>
      </c>
      <c r="AO19" s="80">
        <f t="shared" si="125"/>
        <v>249802.74872445152</v>
      </c>
      <c r="AP19" s="76" t="s">
        <v>8</v>
      </c>
      <c r="AQ19" s="30" t="s">
        <v>8</v>
      </c>
      <c r="AR19" s="35">
        <f t="shared" si="126"/>
        <v>0.64271611252549721</v>
      </c>
      <c r="AS19" s="33">
        <f t="shared" si="127"/>
        <v>2.8382910688823149E-2</v>
      </c>
      <c r="AT19" s="53">
        <f t="shared" si="128"/>
        <v>255694.99784155027</v>
      </c>
      <c r="AU19" s="80">
        <f t="shared" si="129"/>
        <v>0</v>
      </c>
      <c r="AV19" s="76" t="s">
        <v>8</v>
      </c>
      <c r="AW19" s="30" t="s">
        <v>8</v>
      </c>
      <c r="AX19" s="35">
        <f t="shared" si="130"/>
        <v>0.64271611252549721</v>
      </c>
      <c r="AY19" s="33">
        <f t="shared" si="131"/>
        <v>2.8382910688823149E-2</v>
      </c>
      <c r="AZ19" s="53">
        <f t="shared" si="132"/>
        <v>255694.99784155027</v>
      </c>
      <c r="BA19" s="80">
        <f t="shared" si="133"/>
        <v>0</v>
      </c>
      <c r="BB19" s="76" t="s">
        <v>8</v>
      </c>
      <c r="BC19" s="30" t="s">
        <v>8</v>
      </c>
      <c r="BD19" s="35">
        <f t="shared" si="134"/>
        <v>0.64271611252549721</v>
      </c>
      <c r="BE19" s="33">
        <f t="shared" si="135"/>
        <v>2.8382910688823149E-2</v>
      </c>
      <c r="BF19" s="53">
        <f t="shared" si="136"/>
        <v>255694.99784155027</v>
      </c>
      <c r="BG19" s="80">
        <f t="shared" si="137"/>
        <v>0</v>
      </c>
      <c r="BH19" s="76" t="s">
        <v>8</v>
      </c>
      <c r="BI19" s="30" t="s">
        <v>8</v>
      </c>
      <c r="BJ19" s="35">
        <f t="shared" si="138"/>
        <v>0.64271611252549721</v>
      </c>
      <c r="BK19" s="33">
        <f t="shared" si="139"/>
        <v>2.8382910688823149E-2</v>
      </c>
      <c r="BL19" s="53">
        <f t="shared" si="140"/>
        <v>255694.99784155027</v>
      </c>
      <c r="BM19" s="80">
        <f t="shared" si="141"/>
        <v>0</v>
      </c>
      <c r="BN19" s="76" t="s">
        <v>8</v>
      </c>
      <c r="BO19" s="30" t="s">
        <v>8</v>
      </c>
      <c r="BP19" s="35">
        <f t="shared" si="142"/>
        <v>0.64271611252549721</v>
      </c>
      <c r="BQ19" s="33">
        <f t="shared" si="143"/>
        <v>2.8382910688823149E-2</v>
      </c>
      <c r="BR19" s="53">
        <f t="shared" si="144"/>
        <v>255694.99784155027</v>
      </c>
      <c r="BS19" s="128">
        <f t="shared" si="145"/>
        <v>0</v>
      </c>
      <c r="BT19" s="76" t="s">
        <v>8</v>
      </c>
      <c r="BU19" s="30" t="s">
        <v>8</v>
      </c>
      <c r="BV19" s="35">
        <f t="shared" si="146"/>
        <v>0.64271611252549721</v>
      </c>
      <c r="BW19" s="33">
        <f t="shared" si="147"/>
        <v>2.8382910688823149E-2</v>
      </c>
      <c r="BX19" s="53">
        <f t="shared" si="148"/>
        <v>255694.99784155027</v>
      </c>
      <c r="BY19" s="128">
        <f t="shared" si="149"/>
        <v>0</v>
      </c>
      <c r="BZ19" s="76" t="s">
        <v>8</v>
      </c>
      <c r="CA19" s="30" t="s">
        <v>8</v>
      </c>
      <c r="CB19" s="35">
        <f t="shared" si="150"/>
        <v>0.64271611252549721</v>
      </c>
      <c r="CC19" s="33">
        <f t="shared" si="151"/>
        <v>2.8382910688823149E-2</v>
      </c>
      <c r="CD19" s="53">
        <f t="shared" si="152"/>
        <v>255694.99784155027</v>
      </c>
      <c r="CE19" s="128">
        <f t="shared" si="153"/>
        <v>0</v>
      </c>
      <c r="CF19" s="76" t="s">
        <v>8</v>
      </c>
      <c r="CG19" s="30" t="s">
        <v>8</v>
      </c>
      <c r="CH19" s="35">
        <f t="shared" si="154"/>
        <v>0.64271611252549721</v>
      </c>
      <c r="CI19" s="33">
        <f t="shared" si="155"/>
        <v>2.8382910688823149E-2</v>
      </c>
      <c r="CJ19" s="53">
        <f t="shared" si="156"/>
        <v>255694.99784155027</v>
      </c>
      <c r="CK19" s="128">
        <f t="shared" si="157"/>
        <v>0</v>
      </c>
      <c r="CL19" s="76" t="s">
        <v>8</v>
      </c>
      <c r="CM19" s="30" t="s">
        <v>8</v>
      </c>
      <c r="CN19" s="35">
        <f t="shared" si="158"/>
        <v>0.64271611252549721</v>
      </c>
      <c r="CO19" s="33">
        <f t="shared" si="159"/>
        <v>2.8382910688823149E-2</v>
      </c>
      <c r="CP19" s="53">
        <f t="shared" si="160"/>
        <v>255694.99784155027</v>
      </c>
      <c r="CQ19" s="128">
        <f t="shared" si="161"/>
        <v>0</v>
      </c>
      <c r="CR19" s="76" t="s">
        <v>8</v>
      </c>
      <c r="CS19" s="30" t="s">
        <v>8</v>
      </c>
      <c r="CT19" s="35">
        <f t="shared" si="162"/>
        <v>0.64271611252549721</v>
      </c>
      <c r="CU19" s="33">
        <f t="shared" si="163"/>
        <v>2.8382910688823149E-2</v>
      </c>
      <c r="CV19" s="53">
        <f t="shared" si="164"/>
        <v>255694.99784155027</v>
      </c>
      <c r="CW19" s="128">
        <f t="shared" si="165"/>
        <v>0</v>
      </c>
      <c r="CX19" s="76" t="s">
        <v>8</v>
      </c>
      <c r="CY19" s="30" t="s">
        <v>8</v>
      </c>
      <c r="CZ19" s="35">
        <f t="shared" si="166"/>
        <v>0.64271611252549721</v>
      </c>
      <c r="DA19" s="33">
        <f t="shared" si="167"/>
        <v>2.8382910688823149E-2</v>
      </c>
      <c r="DB19" s="53">
        <f t="shared" si="168"/>
        <v>255694.99784155027</v>
      </c>
      <c r="DC19" s="128">
        <f t="shared" si="169"/>
        <v>0</v>
      </c>
      <c r="DD19" s="76" t="s">
        <v>8</v>
      </c>
      <c r="DE19" s="30" t="s">
        <v>8</v>
      </c>
      <c r="DF19" s="35">
        <f t="shared" si="170"/>
        <v>0.64271611252549721</v>
      </c>
      <c r="DG19" s="33">
        <f t="shared" si="171"/>
        <v>2.8382910688823149E-2</v>
      </c>
      <c r="DH19" s="53">
        <f t="shared" si="172"/>
        <v>255694.99784155027</v>
      </c>
      <c r="DI19" s="128">
        <f t="shared" si="173"/>
        <v>0</v>
      </c>
      <c r="DJ19" s="76" t="s">
        <v>8</v>
      </c>
      <c r="DK19" s="30" t="s">
        <v>8</v>
      </c>
      <c r="DL19" s="35">
        <f t="shared" si="174"/>
        <v>0.64271611252549721</v>
      </c>
      <c r="DM19" s="33">
        <f t="shared" si="175"/>
        <v>2.8382910688823149E-2</v>
      </c>
      <c r="DN19" s="53">
        <f t="shared" si="176"/>
        <v>255694.99784155027</v>
      </c>
      <c r="DO19" s="128">
        <f t="shared" si="177"/>
        <v>0</v>
      </c>
      <c r="DP19" s="76" t="s">
        <v>8</v>
      </c>
      <c r="DQ19" s="30" t="s">
        <v>8</v>
      </c>
      <c r="DR19" s="35">
        <f t="shared" si="178"/>
        <v>0.64271611252549721</v>
      </c>
      <c r="DS19" s="33">
        <f t="shared" si="179"/>
        <v>2.8382910688823149E-2</v>
      </c>
      <c r="DT19" s="53">
        <f t="shared" si="180"/>
        <v>255694.99784155027</v>
      </c>
      <c r="DU19" s="128">
        <f t="shared" si="181"/>
        <v>0</v>
      </c>
      <c r="DV19" s="76" t="s">
        <v>8</v>
      </c>
      <c r="DW19" s="30" t="s">
        <v>8</v>
      </c>
      <c r="DX19" s="35">
        <f t="shared" si="182"/>
        <v>0.64271611252549721</v>
      </c>
      <c r="DY19" s="33">
        <f t="shared" si="183"/>
        <v>2.8382910688823149E-2</v>
      </c>
      <c r="DZ19" s="34">
        <f t="shared" si="184"/>
        <v>255694.99784155027</v>
      </c>
      <c r="EA19" s="80">
        <f t="shared" si="185"/>
        <v>0</v>
      </c>
      <c r="EB19" s="76" t="s">
        <v>8</v>
      </c>
      <c r="EC19" s="30" t="s">
        <v>8</v>
      </c>
      <c r="ED19" s="35">
        <f t="shared" si="186"/>
        <v>0.64271611252549721</v>
      </c>
      <c r="EE19" s="33">
        <f t="shared" si="187"/>
        <v>2.8382910688823149E-2</v>
      </c>
      <c r="EF19" s="34">
        <f t="shared" si="188"/>
        <v>255694.99784155027</v>
      </c>
      <c r="EG19" s="80">
        <f t="shared" si="189"/>
        <v>0</v>
      </c>
      <c r="EH19" s="76" t="s">
        <v>8</v>
      </c>
      <c r="EI19" s="30" t="s">
        <v>8</v>
      </c>
      <c r="EJ19" s="35">
        <f t="shared" si="190"/>
        <v>0.64271611252549721</v>
      </c>
      <c r="EK19" s="33">
        <f t="shared" si="191"/>
        <v>2.8382910688823149E-2</v>
      </c>
      <c r="EL19" s="34">
        <f t="shared" si="192"/>
        <v>255694.99784155027</v>
      </c>
      <c r="EM19" s="80">
        <f t="shared" si="193"/>
        <v>0</v>
      </c>
      <c r="EN19" s="76" t="s">
        <v>8</v>
      </c>
      <c r="EO19" s="30" t="s">
        <v>8</v>
      </c>
      <c r="EP19" s="35">
        <f t="shared" si="194"/>
        <v>0.64271611252549721</v>
      </c>
      <c r="EQ19" s="33">
        <f t="shared" si="195"/>
        <v>2.8382910688823149E-2</v>
      </c>
      <c r="ER19" s="34">
        <f t="shared" si="196"/>
        <v>255694.99784155027</v>
      </c>
      <c r="ES19" s="80">
        <f t="shared" si="197"/>
        <v>0</v>
      </c>
      <c r="ET19" s="76" t="s">
        <v>8</v>
      </c>
      <c r="EU19" s="30" t="s">
        <v>8</v>
      </c>
      <c r="EV19" s="35">
        <f t="shared" si="198"/>
        <v>0.64271611252549721</v>
      </c>
      <c r="EW19" s="33">
        <f t="shared" si="199"/>
        <v>2.8382910688823149E-2</v>
      </c>
      <c r="EX19" s="34">
        <f t="shared" si="200"/>
        <v>255694.99784155027</v>
      </c>
      <c r="EY19" s="80">
        <f t="shared" si="201"/>
        <v>0</v>
      </c>
      <c r="EZ19" s="76" t="s">
        <v>8</v>
      </c>
      <c r="FA19" s="30" t="s">
        <v>8</v>
      </c>
      <c r="FB19" s="35">
        <f t="shared" si="202"/>
        <v>0.64271611252549721</v>
      </c>
      <c r="FC19" s="33">
        <f t="shared" si="203"/>
        <v>2.8382910688823149E-2</v>
      </c>
      <c r="FD19" s="34">
        <f t="shared" si="204"/>
        <v>255694.99784155027</v>
      </c>
      <c r="FE19" s="80">
        <f t="shared" si="205"/>
        <v>0</v>
      </c>
      <c r="FF19" s="76" t="s">
        <v>8</v>
      </c>
      <c r="FG19" s="30" t="s">
        <v>8</v>
      </c>
      <c r="FH19" s="35">
        <f t="shared" si="206"/>
        <v>0.64271611252549721</v>
      </c>
      <c r="FI19" s="33">
        <f t="shared" si="207"/>
        <v>2.8382910688823149E-2</v>
      </c>
      <c r="FJ19" s="34">
        <f t="shared" si="208"/>
        <v>255694.99784155027</v>
      </c>
      <c r="FK19" s="80">
        <f t="shared" si="209"/>
        <v>0</v>
      </c>
      <c r="FL19" s="76" t="s">
        <v>8</v>
      </c>
      <c r="FM19" s="30" t="s">
        <v>8</v>
      </c>
      <c r="FN19" s="35">
        <f t="shared" si="210"/>
        <v>0.64271611252549721</v>
      </c>
      <c r="FO19" s="33">
        <f t="shared" si="211"/>
        <v>2.8382910688823149E-2</v>
      </c>
      <c r="FP19" s="34">
        <f t="shared" si="212"/>
        <v>255694.99784155027</v>
      </c>
      <c r="FQ19" s="80">
        <f t="shared" si="213"/>
        <v>0</v>
      </c>
      <c r="FR19" s="76" t="s">
        <v>8</v>
      </c>
      <c r="FS19" s="30" t="s">
        <v>8</v>
      </c>
      <c r="FT19" s="35">
        <f t="shared" si="214"/>
        <v>0.64271611252549721</v>
      </c>
      <c r="FU19" s="33">
        <f t="shared" si="215"/>
        <v>2.8382910688823149E-2</v>
      </c>
      <c r="FV19" s="34">
        <f t="shared" si="216"/>
        <v>255694.99784155027</v>
      </c>
      <c r="FW19" s="80">
        <f t="shared" si="217"/>
        <v>0</v>
      </c>
      <c r="FX19" s="76" t="s">
        <v>8</v>
      </c>
      <c r="FY19" s="30" t="s">
        <v>8</v>
      </c>
      <c r="FZ19" s="35">
        <f t="shared" si="218"/>
        <v>0.64271611252549721</v>
      </c>
      <c r="GA19" s="33">
        <f t="shared" si="219"/>
        <v>2.8382910688823149E-2</v>
      </c>
      <c r="GB19" s="34">
        <f t="shared" si="220"/>
        <v>255694.99784155027</v>
      </c>
      <c r="GC19" s="80">
        <f t="shared" si="221"/>
        <v>0</v>
      </c>
      <c r="GD19" s="76" t="s">
        <v>8</v>
      </c>
      <c r="GE19" s="30" t="s">
        <v>8</v>
      </c>
      <c r="GF19" s="35">
        <f t="shared" si="222"/>
        <v>0.64271611252549721</v>
      </c>
      <c r="GG19" s="33">
        <f t="shared" si="223"/>
        <v>2.8382910688823149E-2</v>
      </c>
      <c r="GH19" s="34">
        <f t="shared" si="224"/>
        <v>255694.99784155027</v>
      </c>
      <c r="GI19" s="128">
        <f t="shared" si="225"/>
        <v>0</v>
      </c>
      <c r="GJ19" s="176">
        <f t="shared" si="228"/>
        <v>1771838.2077924067</v>
      </c>
      <c r="GK19" s="99">
        <f t="shared" si="226"/>
        <v>1892591.2893612308</v>
      </c>
      <c r="GL19" s="217">
        <f t="shared" si="227"/>
        <v>0.64271611252549721</v>
      </c>
      <c r="GM19" s="221">
        <f t="shared" si="229"/>
        <v>1892591.29</v>
      </c>
      <c r="GN19" s="209"/>
      <c r="GO19" s="232"/>
      <c r="GP19" s="212"/>
    </row>
    <row r="20" spans="1:198" s="25" customFormat="1" ht="15.75" customHeight="1" x14ac:dyDescent="0.25">
      <c r="A20" s="162" t="s">
        <v>185</v>
      </c>
      <c r="B20" s="164" t="s">
        <v>8</v>
      </c>
      <c r="C20" s="164" t="s">
        <v>8</v>
      </c>
      <c r="D20" s="164" t="s">
        <v>8</v>
      </c>
      <c r="E20" s="164" t="s">
        <v>8</v>
      </c>
      <c r="F20" s="164" t="s">
        <v>8</v>
      </c>
      <c r="G20" s="108">
        <f>'Исходные данные'!C22</f>
        <v>722</v>
      </c>
      <c r="H20" s="49">
        <f>'Исходные данные'!D22</f>
        <v>138368.54786259262</v>
      </c>
      <c r="I20" s="32">
        <f>'Расчет КРП'!G18</f>
        <v>4.5878320525422218</v>
      </c>
      <c r="J20" s="115" t="s">
        <v>8</v>
      </c>
      <c r="K20" s="119">
        <f t="shared" si="104"/>
        <v>3.3691872939842535E-2</v>
      </c>
      <c r="L20" s="77">
        <f t="shared" si="105"/>
        <v>165434.01307911021</v>
      </c>
      <c r="M20" s="73">
        <f t="shared" si="106"/>
        <v>7.3974016784588897E-2</v>
      </c>
      <c r="N20" s="30" t="s">
        <v>8</v>
      </c>
      <c r="O20" s="33">
        <f t="shared" si="107"/>
        <v>8.7153322954763135E-2</v>
      </c>
      <c r="P20" s="34">
        <f t="shared" si="108"/>
        <v>424076.34803371463</v>
      </c>
      <c r="Q20" s="80">
        <f t="shared" si="109"/>
        <v>424076.34803371463</v>
      </c>
      <c r="R20" s="169" t="s">
        <v>8</v>
      </c>
      <c r="S20" s="30" t="s">
        <v>8</v>
      </c>
      <c r="T20" s="35">
        <f t="shared" si="110"/>
        <v>0.17723394583243171</v>
      </c>
      <c r="U20" s="33">
        <f t="shared" si="111"/>
        <v>8.9845453296900663E-2</v>
      </c>
      <c r="V20" s="53">
        <f t="shared" si="112"/>
        <v>559887.90563760255</v>
      </c>
      <c r="W20" s="80">
        <f t="shared" si="113"/>
        <v>559887.90563760255</v>
      </c>
      <c r="X20" s="76" t="s">
        <v>8</v>
      </c>
      <c r="Y20" s="30" t="s">
        <v>8</v>
      </c>
      <c r="Z20" s="35">
        <f t="shared" si="114"/>
        <v>0.31356313674097031</v>
      </c>
      <c r="AA20" s="33">
        <f t="shared" si="115"/>
        <v>6.7772415862926316E-2</v>
      </c>
      <c r="AB20" s="53">
        <f t="shared" si="116"/>
        <v>528111.26191572438</v>
      </c>
      <c r="AC20" s="80">
        <f t="shared" si="117"/>
        <v>528111.26191572438</v>
      </c>
      <c r="AD20" s="76" t="s">
        <v>8</v>
      </c>
      <c r="AE20" s="30" t="s">
        <v>8</v>
      </c>
      <c r="AF20" s="35">
        <f t="shared" si="118"/>
        <v>0.44215491434807463</v>
      </c>
      <c r="AG20" s="33">
        <f t="shared" si="119"/>
        <v>5.3147250937837842E-2</v>
      </c>
      <c r="AH20" s="53">
        <f t="shared" si="120"/>
        <v>495502.4827289292</v>
      </c>
      <c r="AI20" s="80">
        <f t="shared" si="121"/>
        <v>495502.4827289292</v>
      </c>
      <c r="AJ20" s="76" t="s">
        <v>8</v>
      </c>
      <c r="AK20" s="30" t="s">
        <v>8</v>
      </c>
      <c r="AL20" s="35">
        <f t="shared" si="122"/>
        <v>0.56280665889090264</v>
      </c>
      <c r="AM20" s="33">
        <f t="shared" si="123"/>
        <v>3.4354201674362761E-2</v>
      </c>
      <c r="AN20" s="53">
        <f t="shared" si="124"/>
        <v>367984.38463921362</v>
      </c>
      <c r="AO20" s="80">
        <f t="shared" si="125"/>
        <v>333416.20574827358</v>
      </c>
      <c r="AP20" s="76" t="s">
        <v>8</v>
      </c>
      <c r="AQ20" s="30" t="s">
        <v>8</v>
      </c>
      <c r="AR20" s="35">
        <f t="shared" si="126"/>
        <v>0.64399141231702528</v>
      </c>
      <c r="AS20" s="33">
        <f t="shared" si="127"/>
        <v>2.7107610897295076E-2</v>
      </c>
      <c r="AT20" s="53">
        <f t="shared" si="128"/>
        <v>317070.04555692896</v>
      </c>
      <c r="AU20" s="80">
        <f t="shared" si="129"/>
        <v>0</v>
      </c>
      <c r="AV20" s="76" t="s">
        <v>8</v>
      </c>
      <c r="AW20" s="30" t="s">
        <v>8</v>
      </c>
      <c r="AX20" s="35">
        <f t="shared" si="130"/>
        <v>0.64399141231702528</v>
      </c>
      <c r="AY20" s="33">
        <f t="shared" si="131"/>
        <v>2.7107610897295076E-2</v>
      </c>
      <c r="AZ20" s="53">
        <f t="shared" si="132"/>
        <v>317070.04555692896</v>
      </c>
      <c r="BA20" s="80">
        <f t="shared" si="133"/>
        <v>0</v>
      </c>
      <c r="BB20" s="76" t="s">
        <v>8</v>
      </c>
      <c r="BC20" s="30" t="s">
        <v>8</v>
      </c>
      <c r="BD20" s="35">
        <f t="shared" si="134"/>
        <v>0.64399141231702528</v>
      </c>
      <c r="BE20" s="33">
        <f t="shared" si="135"/>
        <v>2.7107610897295076E-2</v>
      </c>
      <c r="BF20" s="53">
        <f t="shared" si="136"/>
        <v>317070.04555692896</v>
      </c>
      <c r="BG20" s="80">
        <f t="shared" si="137"/>
        <v>0</v>
      </c>
      <c r="BH20" s="76" t="s">
        <v>8</v>
      </c>
      <c r="BI20" s="30" t="s">
        <v>8</v>
      </c>
      <c r="BJ20" s="35">
        <f t="shared" si="138"/>
        <v>0.64399141231702528</v>
      </c>
      <c r="BK20" s="33">
        <f t="shared" si="139"/>
        <v>2.7107610897295076E-2</v>
      </c>
      <c r="BL20" s="53">
        <f t="shared" si="140"/>
        <v>317070.04555692896</v>
      </c>
      <c r="BM20" s="80">
        <f t="shared" si="141"/>
        <v>0</v>
      </c>
      <c r="BN20" s="76" t="s">
        <v>8</v>
      </c>
      <c r="BO20" s="30" t="s">
        <v>8</v>
      </c>
      <c r="BP20" s="35">
        <f t="shared" si="142"/>
        <v>0.64399141231702528</v>
      </c>
      <c r="BQ20" s="33">
        <f t="shared" si="143"/>
        <v>2.7107610897295076E-2</v>
      </c>
      <c r="BR20" s="53">
        <f t="shared" si="144"/>
        <v>317070.04555692896</v>
      </c>
      <c r="BS20" s="128">
        <f t="shared" si="145"/>
        <v>0</v>
      </c>
      <c r="BT20" s="76" t="s">
        <v>8</v>
      </c>
      <c r="BU20" s="30" t="s">
        <v>8</v>
      </c>
      <c r="BV20" s="35">
        <f t="shared" si="146"/>
        <v>0.64399141231702528</v>
      </c>
      <c r="BW20" s="33">
        <f t="shared" si="147"/>
        <v>2.7107610897295076E-2</v>
      </c>
      <c r="BX20" s="53">
        <f t="shared" si="148"/>
        <v>317070.04555692896</v>
      </c>
      <c r="BY20" s="128">
        <f t="shared" si="149"/>
        <v>0</v>
      </c>
      <c r="BZ20" s="76" t="s">
        <v>8</v>
      </c>
      <c r="CA20" s="30" t="s">
        <v>8</v>
      </c>
      <c r="CB20" s="35">
        <f t="shared" si="150"/>
        <v>0.64399141231702528</v>
      </c>
      <c r="CC20" s="33">
        <f t="shared" si="151"/>
        <v>2.7107610897295076E-2</v>
      </c>
      <c r="CD20" s="53">
        <f t="shared" si="152"/>
        <v>317070.04555692896</v>
      </c>
      <c r="CE20" s="128">
        <f t="shared" si="153"/>
        <v>0</v>
      </c>
      <c r="CF20" s="76" t="s">
        <v>8</v>
      </c>
      <c r="CG20" s="30" t="s">
        <v>8</v>
      </c>
      <c r="CH20" s="35">
        <f t="shared" si="154"/>
        <v>0.64399141231702528</v>
      </c>
      <c r="CI20" s="33">
        <f t="shared" si="155"/>
        <v>2.7107610897295076E-2</v>
      </c>
      <c r="CJ20" s="53">
        <f t="shared" si="156"/>
        <v>317070.04555692896</v>
      </c>
      <c r="CK20" s="128">
        <f t="shared" si="157"/>
        <v>0</v>
      </c>
      <c r="CL20" s="76" t="s">
        <v>8</v>
      </c>
      <c r="CM20" s="30" t="s">
        <v>8</v>
      </c>
      <c r="CN20" s="35">
        <f t="shared" si="158"/>
        <v>0.64399141231702528</v>
      </c>
      <c r="CO20" s="33">
        <f t="shared" si="159"/>
        <v>2.7107610897295076E-2</v>
      </c>
      <c r="CP20" s="53">
        <f t="shared" si="160"/>
        <v>317070.04555692896</v>
      </c>
      <c r="CQ20" s="128">
        <f t="shared" si="161"/>
        <v>0</v>
      </c>
      <c r="CR20" s="76" t="s">
        <v>8</v>
      </c>
      <c r="CS20" s="30" t="s">
        <v>8</v>
      </c>
      <c r="CT20" s="35">
        <f t="shared" si="162"/>
        <v>0.64399141231702528</v>
      </c>
      <c r="CU20" s="33">
        <f t="shared" si="163"/>
        <v>2.7107610897295076E-2</v>
      </c>
      <c r="CV20" s="53">
        <f t="shared" si="164"/>
        <v>317070.04555692896</v>
      </c>
      <c r="CW20" s="128">
        <f t="shared" si="165"/>
        <v>0</v>
      </c>
      <c r="CX20" s="76" t="s">
        <v>8</v>
      </c>
      <c r="CY20" s="30" t="s">
        <v>8</v>
      </c>
      <c r="CZ20" s="35">
        <f t="shared" si="166"/>
        <v>0.64399141231702528</v>
      </c>
      <c r="DA20" s="33">
        <f t="shared" si="167"/>
        <v>2.7107610897295076E-2</v>
      </c>
      <c r="DB20" s="53">
        <f t="shared" si="168"/>
        <v>317070.04555692896</v>
      </c>
      <c r="DC20" s="128">
        <f t="shared" si="169"/>
        <v>0</v>
      </c>
      <c r="DD20" s="76" t="s">
        <v>8</v>
      </c>
      <c r="DE20" s="30" t="s">
        <v>8</v>
      </c>
      <c r="DF20" s="35">
        <f t="shared" si="170"/>
        <v>0.64399141231702528</v>
      </c>
      <c r="DG20" s="33">
        <f t="shared" si="171"/>
        <v>2.7107610897295076E-2</v>
      </c>
      <c r="DH20" s="53">
        <f t="shared" si="172"/>
        <v>317070.04555692896</v>
      </c>
      <c r="DI20" s="128">
        <f t="shared" si="173"/>
        <v>0</v>
      </c>
      <c r="DJ20" s="76" t="s">
        <v>8</v>
      </c>
      <c r="DK20" s="30" t="s">
        <v>8</v>
      </c>
      <c r="DL20" s="35">
        <f t="shared" si="174"/>
        <v>0.64399141231702528</v>
      </c>
      <c r="DM20" s="33">
        <f t="shared" si="175"/>
        <v>2.7107610897295076E-2</v>
      </c>
      <c r="DN20" s="53">
        <f t="shared" si="176"/>
        <v>317070.04555692896</v>
      </c>
      <c r="DO20" s="128">
        <f t="shared" si="177"/>
        <v>0</v>
      </c>
      <c r="DP20" s="76" t="s">
        <v>8</v>
      </c>
      <c r="DQ20" s="30" t="s">
        <v>8</v>
      </c>
      <c r="DR20" s="35">
        <f t="shared" si="178"/>
        <v>0.64399141231702528</v>
      </c>
      <c r="DS20" s="33">
        <f t="shared" si="179"/>
        <v>2.7107610897295076E-2</v>
      </c>
      <c r="DT20" s="53">
        <f t="shared" si="180"/>
        <v>317070.04555692896</v>
      </c>
      <c r="DU20" s="128">
        <f t="shared" si="181"/>
        <v>0</v>
      </c>
      <c r="DV20" s="76" t="s">
        <v>8</v>
      </c>
      <c r="DW20" s="30" t="s">
        <v>8</v>
      </c>
      <c r="DX20" s="35">
        <f t="shared" si="182"/>
        <v>0.64399141231702528</v>
      </c>
      <c r="DY20" s="33">
        <f t="shared" si="183"/>
        <v>2.7107610897295076E-2</v>
      </c>
      <c r="DZ20" s="34">
        <f t="shared" si="184"/>
        <v>317070.04555692896</v>
      </c>
      <c r="EA20" s="80">
        <f t="shared" si="185"/>
        <v>0</v>
      </c>
      <c r="EB20" s="76" t="s">
        <v>8</v>
      </c>
      <c r="EC20" s="30" t="s">
        <v>8</v>
      </c>
      <c r="ED20" s="35">
        <f t="shared" si="186"/>
        <v>0.64399141231702528</v>
      </c>
      <c r="EE20" s="33">
        <f t="shared" si="187"/>
        <v>2.7107610897295076E-2</v>
      </c>
      <c r="EF20" s="34">
        <f t="shared" si="188"/>
        <v>317070.04555692896</v>
      </c>
      <c r="EG20" s="80">
        <f t="shared" si="189"/>
        <v>0</v>
      </c>
      <c r="EH20" s="76" t="s">
        <v>8</v>
      </c>
      <c r="EI20" s="30" t="s">
        <v>8</v>
      </c>
      <c r="EJ20" s="35">
        <f t="shared" si="190"/>
        <v>0.64399141231702528</v>
      </c>
      <c r="EK20" s="33">
        <f t="shared" si="191"/>
        <v>2.7107610897295076E-2</v>
      </c>
      <c r="EL20" s="34">
        <f t="shared" si="192"/>
        <v>317070.04555692896</v>
      </c>
      <c r="EM20" s="80">
        <f t="shared" si="193"/>
        <v>0</v>
      </c>
      <c r="EN20" s="76" t="s">
        <v>8</v>
      </c>
      <c r="EO20" s="30" t="s">
        <v>8</v>
      </c>
      <c r="EP20" s="35">
        <f t="shared" si="194"/>
        <v>0.64399141231702528</v>
      </c>
      <c r="EQ20" s="33">
        <f t="shared" si="195"/>
        <v>2.7107610897295076E-2</v>
      </c>
      <c r="ER20" s="34">
        <f t="shared" si="196"/>
        <v>317070.04555692896</v>
      </c>
      <c r="ES20" s="80">
        <f t="shared" si="197"/>
        <v>0</v>
      </c>
      <c r="ET20" s="76" t="s">
        <v>8</v>
      </c>
      <c r="EU20" s="30" t="s">
        <v>8</v>
      </c>
      <c r="EV20" s="35">
        <f t="shared" si="198"/>
        <v>0.64399141231702528</v>
      </c>
      <c r="EW20" s="33">
        <f t="shared" si="199"/>
        <v>2.7107610897295076E-2</v>
      </c>
      <c r="EX20" s="34">
        <f t="shared" si="200"/>
        <v>317070.04555692896</v>
      </c>
      <c r="EY20" s="80">
        <f t="shared" si="201"/>
        <v>0</v>
      </c>
      <c r="EZ20" s="76" t="s">
        <v>8</v>
      </c>
      <c r="FA20" s="30" t="s">
        <v>8</v>
      </c>
      <c r="FB20" s="35">
        <f t="shared" si="202"/>
        <v>0.64399141231702528</v>
      </c>
      <c r="FC20" s="33">
        <f t="shared" si="203"/>
        <v>2.7107610897295076E-2</v>
      </c>
      <c r="FD20" s="34">
        <f t="shared" si="204"/>
        <v>317070.04555692896</v>
      </c>
      <c r="FE20" s="80">
        <f t="shared" si="205"/>
        <v>0</v>
      </c>
      <c r="FF20" s="76" t="s">
        <v>8</v>
      </c>
      <c r="FG20" s="30" t="s">
        <v>8</v>
      </c>
      <c r="FH20" s="35">
        <f t="shared" si="206"/>
        <v>0.64399141231702528</v>
      </c>
      <c r="FI20" s="33">
        <f t="shared" si="207"/>
        <v>2.7107610897295076E-2</v>
      </c>
      <c r="FJ20" s="34">
        <f t="shared" si="208"/>
        <v>317070.04555692896</v>
      </c>
      <c r="FK20" s="80">
        <f t="shared" si="209"/>
        <v>0</v>
      </c>
      <c r="FL20" s="76" t="s">
        <v>8</v>
      </c>
      <c r="FM20" s="30" t="s">
        <v>8</v>
      </c>
      <c r="FN20" s="35">
        <f t="shared" si="210"/>
        <v>0.64399141231702528</v>
      </c>
      <c r="FO20" s="33">
        <f t="shared" si="211"/>
        <v>2.7107610897295076E-2</v>
      </c>
      <c r="FP20" s="34">
        <f t="shared" si="212"/>
        <v>317070.04555692896</v>
      </c>
      <c r="FQ20" s="80">
        <f t="shared" si="213"/>
        <v>0</v>
      </c>
      <c r="FR20" s="76" t="s">
        <v>8</v>
      </c>
      <c r="FS20" s="30" t="s">
        <v>8</v>
      </c>
      <c r="FT20" s="35">
        <f t="shared" si="214"/>
        <v>0.64399141231702528</v>
      </c>
      <c r="FU20" s="33">
        <f t="shared" si="215"/>
        <v>2.7107610897295076E-2</v>
      </c>
      <c r="FV20" s="34">
        <f t="shared" si="216"/>
        <v>317070.04555692896</v>
      </c>
      <c r="FW20" s="80">
        <f t="shared" si="217"/>
        <v>0</v>
      </c>
      <c r="FX20" s="76" t="s">
        <v>8</v>
      </c>
      <c r="FY20" s="30" t="s">
        <v>8</v>
      </c>
      <c r="FZ20" s="35">
        <f t="shared" si="218"/>
        <v>0.64399141231702528</v>
      </c>
      <c r="GA20" s="33">
        <f t="shared" si="219"/>
        <v>2.7107610897295076E-2</v>
      </c>
      <c r="GB20" s="34">
        <f t="shared" si="220"/>
        <v>317070.04555692896</v>
      </c>
      <c r="GC20" s="80">
        <f t="shared" si="221"/>
        <v>0</v>
      </c>
      <c r="GD20" s="76" t="s">
        <v>8</v>
      </c>
      <c r="GE20" s="30" t="s">
        <v>8</v>
      </c>
      <c r="GF20" s="35">
        <f t="shared" si="222"/>
        <v>0.64399141231702528</v>
      </c>
      <c r="GG20" s="33">
        <f t="shared" si="223"/>
        <v>2.7107610897295076E-2</v>
      </c>
      <c r="GH20" s="34">
        <f t="shared" si="224"/>
        <v>317070.04555692896</v>
      </c>
      <c r="GI20" s="128">
        <f t="shared" si="225"/>
        <v>0</v>
      </c>
      <c r="GJ20" s="176">
        <f t="shared" si="228"/>
        <v>2340994.2040642444</v>
      </c>
      <c r="GK20" s="99">
        <f t="shared" si="226"/>
        <v>2506428.2171433545</v>
      </c>
      <c r="GL20" s="217">
        <f t="shared" si="227"/>
        <v>0.64399141231702528</v>
      </c>
      <c r="GM20" s="221">
        <f t="shared" si="229"/>
        <v>2506428.2200000002</v>
      </c>
      <c r="GN20" s="209"/>
      <c r="GO20" s="232"/>
      <c r="GP20" s="212"/>
    </row>
    <row r="21" spans="1:198" s="25" customFormat="1" x14ac:dyDescent="0.25">
      <c r="A21" s="162" t="s">
        <v>186</v>
      </c>
      <c r="B21" s="165" t="s">
        <v>8</v>
      </c>
      <c r="C21" s="165" t="s">
        <v>8</v>
      </c>
      <c r="D21" s="165" t="s">
        <v>8</v>
      </c>
      <c r="E21" s="165" t="s">
        <v>8</v>
      </c>
      <c r="F21" s="165" t="s">
        <v>8</v>
      </c>
      <c r="G21" s="147">
        <f>'Исходные данные'!C23</f>
        <v>6867</v>
      </c>
      <c r="H21" s="49">
        <f>'Исходные данные'!D23</f>
        <v>13337622.121533662</v>
      </c>
      <c r="I21" s="149">
        <f>'Расчет КРП'!G19</f>
        <v>2.6390247560798024</v>
      </c>
      <c r="J21" s="150" t="s">
        <v>8</v>
      </c>
      <c r="K21" s="151">
        <f t="shared" si="104"/>
        <v>0.5936088636329081</v>
      </c>
      <c r="L21" s="152">
        <f t="shared" si="105"/>
        <v>1573456.1881083795</v>
      </c>
      <c r="M21" s="153">
        <f t="shared" si="106"/>
        <v>0.66363765371920125</v>
      </c>
      <c r="N21" s="154" t="s">
        <v>8</v>
      </c>
      <c r="O21" s="155">
        <f t="shared" si="107"/>
        <v>-0.50251031397984924</v>
      </c>
      <c r="P21" s="34">
        <f t="shared" si="108"/>
        <v>0</v>
      </c>
      <c r="Q21" s="156">
        <f t="shared" si="109"/>
        <v>0</v>
      </c>
      <c r="R21" s="170" t="s">
        <v>8</v>
      </c>
      <c r="S21" s="154" t="s">
        <v>8</v>
      </c>
      <c r="T21" s="157">
        <f t="shared" si="110"/>
        <v>0.66363765371920125</v>
      </c>
      <c r="U21" s="155">
        <f t="shared" si="111"/>
        <v>-0.39655825458986887</v>
      </c>
      <c r="V21" s="53">
        <f t="shared" si="112"/>
        <v>0</v>
      </c>
      <c r="W21" s="156">
        <f t="shared" si="113"/>
        <v>0</v>
      </c>
      <c r="X21" s="146" t="s">
        <v>8</v>
      </c>
      <c r="Y21" s="154" t="s">
        <v>8</v>
      </c>
      <c r="Z21" s="157">
        <f t="shared" si="114"/>
        <v>0.66363765371920125</v>
      </c>
      <c r="AA21" s="155">
        <f t="shared" si="115"/>
        <v>-0.28230210111530463</v>
      </c>
      <c r="AB21" s="53">
        <f t="shared" si="116"/>
        <v>0</v>
      </c>
      <c r="AC21" s="156">
        <f t="shared" si="117"/>
        <v>0</v>
      </c>
      <c r="AD21" s="146" t="s">
        <v>8</v>
      </c>
      <c r="AE21" s="154" t="s">
        <v>8</v>
      </c>
      <c r="AF21" s="157">
        <f t="shared" si="118"/>
        <v>0.66363765371920125</v>
      </c>
      <c r="AG21" s="155">
        <f t="shared" si="119"/>
        <v>-0.16833548843328877</v>
      </c>
      <c r="AH21" s="53">
        <f t="shared" si="120"/>
        <v>0</v>
      </c>
      <c r="AI21" s="156">
        <f t="shared" si="121"/>
        <v>0</v>
      </c>
      <c r="AJ21" s="146" t="s">
        <v>8</v>
      </c>
      <c r="AK21" s="154" t="s">
        <v>8</v>
      </c>
      <c r="AL21" s="157">
        <f t="shared" si="122"/>
        <v>0.66363765371920125</v>
      </c>
      <c r="AM21" s="155">
        <f t="shared" si="123"/>
        <v>-6.6476793153935843E-2</v>
      </c>
      <c r="AN21" s="53">
        <f t="shared" si="124"/>
        <v>0</v>
      </c>
      <c r="AO21" s="156">
        <f t="shared" si="125"/>
        <v>0</v>
      </c>
      <c r="AP21" s="146" t="s">
        <v>8</v>
      </c>
      <c r="AQ21" s="154" t="s">
        <v>8</v>
      </c>
      <c r="AR21" s="157">
        <f t="shared" si="126"/>
        <v>0.66363765371920125</v>
      </c>
      <c r="AS21" s="155">
        <f t="shared" si="127"/>
        <v>7.4613694951191079E-3</v>
      </c>
      <c r="AT21" s="53">
        <f t="shared" si="128"/>
        <v>477472.45436904189</v>
      </c>
      <c r="AU21" s="156">
        <f t="shared" si="129"/>
        <v>0</v>
      </c>
      <c r="AV21" s="146" t="s">
        <v>8</v>
      </c>
      <c r="AW21" s="154" t="s">
        <v>8</v>
      </c>
      <c r="AX21" s="157">
        <f t="shared" si="130"/>
        <v>0.66363765371920125</v>
      </c>
      <c r="AY21" s="155">
        <f t="shared" si="131"/>
        <v>7.4613694951191079E-3</v>
      </c>
      <c r="AZ21" s="53">
        <f t="shared" si="132"/>
        <v>477472.45436904189</v>
      </c>
      <c r="BA21" s="156">
        <f t="shared" si="133"/>
        <v>0</v>
      </c>
      <c r="BB21" s="146" t="s">
        <v>8</v>
      </c>
      <c r="BC21" s="154" t="s">
        <v>8</v>
      </c>
      <c r="BD21" s="157">
        <f t="shared" si="134"/>
        <v>0.66363765371920125</v>
      </c>
      <c r="BE21" s="155">
        <f t="shared" si="135"/>
        <v>7.4613694951191079E-3</v>
      </c>
      <c r="BF21" s="53">
        <f t="shared" si="136"/>
        <v>477472.45436904189</v>
      </c>
      <c r="BG21" s="156">
        <f t="shared" si="137"/>
        <v>0</v>
      </c>
      <c r="BH21" s="146" t="s">
        <v>8</v>
      </c>
      <c r="BI21" s="154" t="s">
        <v>8</v>
      </c>
      <c r="BJ21" s="157">
        <f t="shared" si="138"/>
        <v>0.66363765371920125</v>
      </c>
      <c r="BK21" s="155">
        <f t="shared" si="139"/>
        <v>7.4613694951191079E-3</v>
      </c>
      <c r="BL21" s="53">
        <f t="shared" si="140"/>
        <v>477472.45436904189</v>
      </c>
      <c r="BM21" s="156">
        <f t="shared" si="141"/>
        <v>0</v>
      </c>
      <c r="BN21" s="146" t="s">
        <v>8</v>
      </c>
      <c r="BO21" s="154" t="s">
        <v>8</v>
      </c>
      <c r="BP21" s="157">
        <f t="shared" si="142"/>
        <v>0.66363765371920125</v>
      </c>
      <c r="BQ21" s="155">
        <f t="shared" si="143"/>
        <v>7.4613694951191079E-3</v>
      </c>
      <c r="BR21" s="53">
        <f t="shared" si="144"/>
        <v>477472.45436904189</v>
      </c>
      <c r="BS21" s="158">
        <f t="shared" si="145"/>
        <v>0</v>
      </c>
      <c r="BT21" s="146" t="s">
        <v>8</v>
      </c>
      <c r="BU21" s="154" t="s">
        <v>8</v>
      </c>
      <c r="BV21" s="157">
        <f t="shared" si="146"/>
        <v>0.66363765371920125</v>
      </c>
      <c r="BW21" s="155">
        <f t="shared" si="147"/>
        <v>7.4613694951191079E-3</v>
      </c>
      <c r="BX21" s="53">
        <f t="shared" si="148"/>
        <v>477472.45436904189</v>
      </c>
      <c r="BY21" s="158">
        <f t="shared" si="149"/>
        <v>0</v>
      </c>
      <c r="BZ21" s="146" t="s">
        <v>8</v>
      </c>
      <c r="CA21" s="154" t="s">
        <v>8</v>
      </c>
      <c r="CB21" s="157">
        <f t="shared" si="150"/>
        <v>0.66363765371920125</v>
      </c>
      <c r="CC21" s="155">
        <f t="shared" si="151"/>
        <v>7.4613694951191079E-3</v>
      </c>
      <c r="CD21" s="53">
        <f t="shared" si="152"/>
        <v>477472.45436904189</v>
      </c>
      <c r="CE21" s="158">
        <f t="shared" si="153"/>
        <v>0</v>
      </c>
      <c r="CF21" s="146" t="s">
        <v>8</v>
      </c>
      <c r="CG21" s="154" t="s">
        <v>8</v>
      </c>
      <c r="CH21" s="157">
        <f t="shared" si="154"/>
        <v>0.66363765371920125</v>
      </c>
      <c r="CI21" s="155">
        <f t="shared" si="155"/>
        <v>7.4613694951191079E-3</v>
      </c>
      <c r="CJ21" s="53">
        <f t="shared" si="156"/>
        <v>477472.45436904189</v>
      </c>
      <c r="CK21" s="158">
        <f t="shared" si="157"/>
        <v>0</v>
      </c>
      <c r="CL21" s="146" t="s">
        <v>8</v>
      </c>
      <c r="CM21" s="154" t="s">
        <v>8</v>
      </c>
      <c r="CN21" s="157">
        <f t="shared" si="158"/>
        <v>0.66363765371920125</v>
      </c>
      <c r="CO21" s="155">
        <f t="shared" si="159"/>
        <v>7.4613694951191079E-3</v>
      </c>
      <c r="CP21" s="53">
        <f t="shared" si="160"/>
        <v>477472.45436904189</v>
      </c>
      <c r="CQ21" s="158">
        <f t="shared" si="161"/>
        <v>0</v>
      </c>
      <c r="CR21" s="146" t="s">
        <v>8</v>
      </c>
      <c r="CS21" s="154" t="s">
        <v>8</v>
      </c>
      <c r="CT21" s="157">
        <f t="shared" si="162"/>
        <v>0.66363765371920125</v>
      </c>
      <c r="CU21" s="155">
        <f t="shared" si="163"/>
        <v>7.4613694951191079E-3</v>
      </c>
      <c r="CV21" s="53">
        <f t="shared" si="164"/>
        <v>477472.45436904189</v>
      </c>
      <c r="CW21" s="158">
        <f t="shared" si="165"/>
        <v>0</v>
      </c>
      <c r="CX21" s="146" t="s">
        <v>8</v>
      </c>
      <c r="CY21" s="154" t="s">
        <v>8</v>
      </c>
      <c r="CZ21" s="157">
        <f t="shared" si="166"/>
        <v>0.66363765371920125</v>
      </c>
      <c r="DA21" s="155">
        <f t="shared" si="167"/>
        <v>7.4613694951191079E-3</v>
      </c>
      <c r="DB21" s="53">
        <f t="shared" si="168"/>
        <v>477472.45436904189</v>
      </c>
      <c r="DC21" s="158">
        <f t="shared" si="169"/>
        <v>0</v>
      </c>
      <c r="DD21" s="146" t="s">
        <v>8</v>
      </c>
      <c r="DE21" s="154" t="s">
        <v>8</v>
      </c>
      <c r="DF21" s="157">
        <f t="shared" si="170"/>
        <v>0.66363765371920125</v>
      </c>
      <c r="DG21" s="155">
        <f t="shared" si="171"/>
        <v>7.4613694951191079E-3</v>
      </c>
      <c r="DH21" s="53">
        <f t="shared" si="172"/>
        <v>477472.45436904189</v>
      </c>
      <c r="DI21" s="158">
        <f t="shared" si="173"/>
        <v>0</v>
      </c>
      <c r="DJ21" s="146" t="s">
        <v>8</v>
      </c>
      <c r="DK21" s="154" t="s">
        <v>8</v>
      </c>
      <c r="DL21" s="157">
        <f t="shared" si="174"/>
        <v>0.66363765371920125</v>
      </c>
      <c r="DM21" s="155">
        <f t="shared" si="175"/>
        <v>7.4613694951191079E-3</v>
      </c>
      <c r="DN21" s="53">
        <f t="shared" si="176"/>
        <v>477472.45436904189</v>
      </c>
      <c r="DO21" s="158">
        <f t="shared" si="177"/>
        <v>0</v>
      </c>
      <c r="DP21" s="146" t="s">
        <v>8</v>
      </c>
      <c r="DQ21" s="154" t="s">
        <v>8</v>
      </c>
      <c r="DR21" s="157">
        <f t="shared" si="178"/>
        <v>0.66363765371920125</v>
      </c>
      <c r="DS21" s="155">
        <f t="shared" si="179"/>
        <v>7.4613694951191079E-3</v>
      </c>
      <c r="DT21" s="53">
        <f t="shared" si="180"/>
        <v>477472.45436904189</v>
      </c>
      <c r="DU21" s="158">
        <f t="shared" si="181"/>
        <v>0</v>
      </c>
      <c r="DV21" s="146" t="s">
        <v>8</v>
      </c>
      <c r="DW21" s="154" t="s">
        <v>8</v>
      </c>
      <c r="DX21" s="35">
        <f t="shared" si="182"/>
        <v>0.66363765371920125</v>
      </c>
      <c r="DY21" s="155">
        <f t="shared" si="183"/>
        <v>7.4613694951191079E-3</v>
      </c>
      <c r="DZ21" s="34">
        <f t="shared" si="184"/>
        <v>477472.45436904189</v>
      </c>
      <c r="EA21" s="156">
        <f t="shared" si="185"/>
        <v>0</v>
      </c>
      <c r="EB21" s="146" t="s">
        <v>8</v>
      </c>
      <c r="EC21" s="154" t="s">
        <v>8</v>
      </c>
      <c r="ED21" s="35">
        <f t="shared" si="186"/>
        <v>0.66363765371920125</v>
      </c>
      <c r="EE21" s="155">
        <f t="shared" si="187"/>
        <v>7.4613694951191079E-3</v>
      </c>
      <c r="EF21" s="34">
        <f t="shared" si="188"/>
        <v>477472.45436904189</v>
      </c>
      <c r="EG21" s="156">
        <f t="shared" si="189"/>
        <v>0</v>
      </c>
      <c r="EH21" s="146" t="s">
        <v>8</v>
      </c>
      <c r="EI21" s="154" t="s">
        <v>8</v>
      </c>
      <c r="EJ21" s="35">
        <f t="shared" si="190"/>
        <v>0.66363765371920125</v>
      </c>
      <c r="EK21" s="155">
        <f t="shared" si="191"/>
        <v>7.4613694951191079E-3</v>
      </c>
      <c r="EL21" s="34">
        <f t="shared" si="192"/>
        <v>477472.45436904189</v>
      </c>
      <c r="EM21" s="156">
        <f t="shared" si="193"/>
        <v>0</v>
      </c>
      <c r="EN21" s="146" t="s">
        <v>8</v>
      </c>
      <c r="EO21" s="154" t="s">
        <v>8</v>
      </c>
      <c r="EP21" s="35">
        <f t="shared" si="194"/>
        <v>0.66363765371920125</v>
      </c>
      <c r="EQ21" s="155">
        <f t="shared" si="195"/>
        <v>7.4613694951191079E-3</v>
      </c>
      <c r="ER21" s="34">
        <f t="shared" si="196"/>
        <v>477472.45436904189</v>
      </c>
      <c r="ES21" s="156">
        <f t="shared" si="197"/>
        <v>0</v>
      </c>
      <c r="ET21" s="146" t="s">
        <v>8</v>
      </c>
      <c r="EU21" s="154" t="s">
        <v>8</v>
      </c>
      <c r="EV21" s="35">
        <f t="shared" si="198"/>
        <v>0.66363765371920125</v>
      </c>
      <c r="EW21" s="155">
        <f t="shared" si="199"/>
        <v>7.4613694951191079E-3</v>
      </c>
      <c r="EX21" s="34">
        <f t="shared" si="200"/>
        <v>477472.45436904189</v>
      </c>
      <c r="EY21" s="156">
        <f t="shared" si="201"/>
        <v>0</v>
      </c>
      <c r="EZ21" s="146" t="s">
        <v>8</v>
      </c>
      <c r="FA21" s="154" t="s">
        <v>8</v>
      </c>
      <c r="FB21" s="35">
        <f t="shared" si="202"/>
        <v>0.66363765371920125</v>
      </c>
      <c r="FC21" s="155">
        <f t="shared" si="203"/>
        <v>7.4613694951191079E-3</v>
      </c>
      <c r="FD21" s="34">
        <f t="shared" si="204"/>
        <v>477472.45436904189</v>
      </c>
      <c r="FE21" s="156">
        <f t="shared" si="205"/>
        <v>0</v>
      </c>
      <c r="FF21" s="146" t="s">
        <v>8</v>
      </c>
      <c r="FG21" s="154" t="s">
        <v>8</v>
      </c>
      <c r="FH21" s="35">
        <f t="shared" si="206"/>
        <v>0.66363765371920125</v>
      </c>
      <c r="FI21" s="155">
        <f t="shared" si="207"/>
        <v>7.4613694951191079E-3</v>
      </c>
      <c r="FJ21" s="34">
        <f t="shared" si="208"/>
        <v>477472.45436904189</v>
      </c>
      <c r="FK21" s="156">
        <f t="shared" si="209"/>
        <v>0</v>
      </c>
      <c r="FL21" s="146" t="s">
        <v>8</v>
      </c>
      <c r="FM21" s="154" t="s">
        <v>8</v>
      </c>
      <c r="FN21" s="35">
        <f t="shared" si="210"/>
        <v>0.66363765371920125</v>
      </c>
      <c r="FO21" s="155">
        <f t="shared" si="211"/>
        <v>7.4613694951191079E-3</v>
      </c>
      <c r="FP21" s="34">
        <f t="shared" si="212"/>
        <v>477472.45436904189</v>
      </c>
      <c r="FQ21" s="156">
        <f t="shared" si="213"/>
        <v>0</v>
      </c>
      <c r="FR21" s="146" t="s">
        <v>8</v>
      </c>
      <c r="FS21" s="154" t="s">
        <v>8</v>
      </c>
      <c r="FT21" s="35">
        <f t="shared" si="214"/>
        <v>0.66363765371920125</v>
      </c>
      <c r="FU21" s="155">
        <f t="shared" si="215"/>
        <v>7.4613694951191079E-3</v>
      </c>
      <c r="FV21" s="34">
        <f t="shared" si="216"/>
        <v>477472.45436904189</v>
      </c>
      <c r="FW21" s="156">
        <f t="shared" si="217"/>
        <v>0</v>
      </c>
      <c r="FX21" s="146" t="s">
        <v>8</v>
      </c>
      <c r="FY21" s="154" t="s">
        <v>8</v>
      </c>
      <c r="FZ21" s="35">
        <f t="shared" si="218"/>
        <v>0.66363765371920125</v>
      </c>
      <c r="GA21" s="155">
        <f t="shared" si="219"/>
        <v>7.4613694951191079E-3</v>
      </c>
      <c r="GB21" s="34">
        <f t="shared" si="220"/>
        <v>477472.45436904189</v>
      </c>
      <c r="GC21" s="156">
        <f t="shared" si="221"/>
        <v>0</v>
      </c>
      <c r="GD21" s="146" t="s">
        <v>8</v>
      </c>
      <c r="GE21" s="154" t="s">
        <v>8</v>
      </c>
      <c r="GF21" s="35">
        <f t="shared" si="222"/>
        <v>0.66363765371920125</v>
      </c>
      <c r="GG21" s="155">
        <f t="shared" si="223"/>
        <v>7.4613694951191079E-3</v>
      </c>
      <c r="GH21" s="34">
        <f t="shared" si="224"/>
        <v>477472.45436904189</v>
      </c>
      <c r="GI21" s="158">
        <f t="shared" si="225"/>
        <v>0</v>
      </c>
      <c r="GJ21" s="176">
        <f t="shared" si="228"/>
        <v>0</v>
      </c>
      <c r="GK21" s="99">
        <f t="shared" si="226"/>
        <v>1573456.1881083795</v>
      </c>
      <c r="GL21" s="217">
        <f t="shared" si="227"/>
        <v>0.66363765371920136</v>
      </c>
      <c r="GM21" s="221">
        <f t="shared" si="229"/>
        <v>1573456.19</v>
      </c>
      <c r="GN21" s="209"/>
      <c r="GO21" s="232"/>
      <c r="GP21" s="212"/>
    </row>
    <row r="22" spans="1:198" s="25" customFormat="1" ht="16.5" thickBot="1" x14ac:dyDescent="0.3">
      <c r="A22" s="136" t="s">
        <v>187</v>
      </c>
      <c r="B22" s="165" t="s">
        <v>8</v>
      </c>
      <c r="C22" s="165" t="s">
        <v>8</v>
      </c>
      <c r="D22" s="165" t="s">
        <v>8</v>
      </c>
      <c r="E22" s="165" t="s">
        <v>8</v>
      </c>
      <c r="F22" s="165" t="s">
        <v>8</v>
      </c>
      <c r="G22" s="147">
        <f>'Исходные данные'!C24</f>
        <v>629</v>
      </c>
      <c r="H22" s="49">
        <f>'Исходные данные'!D24</f>
        <v>208198.63659437397</v>
      </c>
      <c r="I22" s="149">
        <f>'Расчет КРП'!G20</f>
        <v>5.6371658033745318</v>
      </c>
      <c r="J22" s="150" t="s">
        <v>8</v>
      </c>
      <c r="K22" s="151">
        <f t="shared" si="104"/>
        <v>4.7358605606755609E-2</v>
      </c>
      <c r="L22" s="152">
        <f t="shared" si="105"/>
        <v>144124.64574343537</v>
      </c>
      <c r="M22" s="153">
        <f t="shared" si="106"/>
        <v>8.0142404615366244E-2</v>
      </c>
      <c r="N22" s="154" t="s">
        <v>8</v>
      </c>
      <c r="O22" s="155">
        <f t="shared" si="107"/>
        <v>8.0984935123985788E-2</v>
      </c>
      <c r="P22" s="34">
        <f t="shared" si="108"/>
        <v>421823.80497952265</v>
      </c>
      <c r="Q22" s="156">
        <f t="shared" si="109"/>
        <v>421823.80497952265</v>
      </c>
      <c r="R22" s="170" t="s">
        <v>8</v>
      </c>
      <c r="S22" s="154" t="s">
        <v>8</v>
      </c>
      <c r="T22" s="157">
        <f t="shared" si="110"/>
        <v>0.17609398019886374</v>
      </c>
      <c r="U22" s="155">
        <f t="shared" si="111"/>
        <v>9.0985418930468631E-2</v>
      </c>
      <c r="V22" s="53">
        <f t="shared" si="112"/>
        <v>606936.87812398176</v>
      </c>
      <c r="W22" s="156">
        <f t="shared" si="113"/>
        <v>606936.87812398176</v>
      </c>
      <c r="X22" s="146" t="s">
        <v>8</v>
      </c>
      <c r="Y22" s="154" t="s">
        <v>8</v>
      </c>
      <c r="Z22" s="157">
        <f t="shared" si="114"/>
        <v>0.31415292577817344</v>
      </c>
      <c r="AA22" s="155">
        <f t="shared" si="115"/>
        <v>6.718262682572318E-2</v>
      </c>
      <c r="AB22" s="53">
        <f t="shared" si="116"/>
        <v>560397.49821580795</v>
      </c>
      <c r="AC22" s="156">
        <f t="shared" si="117"/>
        <v>560397.49821580795</v>
      </c>
      <c r="AD22" s="146" t="s">
        <v>8</v>
      </c>
      <c r="AE22" s="154" t="s">
        <v>8</v>
      </c>
      <c r="AF22" s="157">
        <f t="shared" si="118"/>
        <v>0.44162563422208723</v>
      </c>
      <c r="AG22" s="155">
        <f t="shared" si="119"/>
        <v>5.367653106382525E-2</v>
      </c>
      <c r="AH22" s="53">
        <f t="shared" si="120"/>
        <v>535693.30156785203</v>
      </c>
      <c r="AI22" s="156">
        <f t="shared" si="121"/>
        <v>535693.30156785203</v>
      </c>
      <c r="AJ22" s="146" t="s">
        <v>8</v>
      </c>
      <c r="AK22" s="154" t="s">
        <v>8</v>
      </c>
      <c r="AL22" s="157">
        <f t="shared" si="122"/>
        <v>0.56347891919128501</v>
      </c>
      <c r="AM22" s="155">
        <f t="shared" si="123"/>
        <v>3.3681941373980395E-2</v>
      </c>
      <c r="AN22" s="53">
        <f t="shared" si="124"/>
        <v>386200.99643854925</v>
      </c>
      <c r="AO22" s="156">
        <f t="shared" si="125"/>
        <v>349921.56260921381</v>
      </c>
      <c r="AP22" s="146" t="s">
        <v>8</v>
      </c>
      <c r="AQ22" s="154" t="s">
        <v>8</v>
      </c>
      <c r="AR22" s="157">
        <f t="shared" si="126"/>
        <v>0.64307500852205046</v>
      </c>
      <c r="AS22" s="155">
        <f t="shared" si="127"/>
        <v>2.8024014692269894E-2</v>
      </c>
      <c r="AT22" s="53">
        <f t="shared" si="128"/>
        <v>350881.9833864487</v>
      </c>
      <c r="AU22" s="156">
        <f t="shared" si="129"/>
        <v>0</v>
      </c>
      <c r="AV22" s="146" t="s">
        <v>8</v>
      </c>
      <c r="AW22" s="154" t="s">
        <v>8</v>
      </c>
      <c r="AX22" s="157">
        <f t="shared" si="130"/>
        <v>0.64307500852205046</v>
      </c>
      <c r="AY22" s="155">
        <f t="shared" si="131"/>
        <v>2.8024014692269894E-2</v>
      </c>
      <c r="AZ22" s="53">
        <f t="shared" si="132"/>
        <v>350881.9833864487</v>
      </c>
      <c r="BA22" s="156">
        <f t="shared" si="133"/>
        <v>0</v>
      </c>
      <c r="BB22" s="146" t="s">
        <v>8</v>
      </c>
      <c r="BC22" s="154" t="s">
        <v>8</v>
      </c>
      <c r="BD22" s="157">
        <f t="shared" si="134"/>
        <v>0.64307500852205046</v>
      </c>
      <c r="BE22" s="155">
        <f t="shared" si="135"/>
        <v>2.8024014692269894E-2</v>
      </c>
      <c r="BF22" s="53">
        <f t="shared" si="136"/>
        <v>350881.9833864487</v>
      </c>
      <c r="BG22" s="156">
        <f t="shared" si="137"/>
        <v>0</v>
      </c>
      <c r="BH22" s="146" t="s">
        <v>8</v>
      </c>
      <c r="BI22" s="154" t="s">
        <v>8</v>
      </c>
      <c r="BJ22" s="157">
        <f t="shared" si="138"/>
        <v>0.64307500852205046</v>
      </c>
      <c r="BK22" s="155">
        <f t="shared" si="139"/>
        <v>2.8024014692269894E-2</v>
      </c>
      <c r="BL22" s="53">
        <f t="shared" si="140"/>
        <v>350881.9833864487</v>
      </c>
      <c r="BM22" s="156">
        <f t="shared" si="141"/>
        <v>0</v>
      </c>
      <c r="BN22" s="146" t="s">
        <v>8</v>
      </c>
      <c r="BO22" s="154" t="s">
        <v>8</v>
      </c>
      <c r="BP22" s="157">
        <f t="shared" si="142"/>
        <v>0.64307500852205046</v>
      </c>
      <c r="BQ22" s="155">
        <f t="shared" si="143"/>
        <v>2.8024014692269894E-2</v>
      </c>
      <c r="BR22" s="53">
        <f t="shared" si="144"/>
        <v>350881.9833864487</v>
      </c>
      <c r="BS22" s="158">
        <f t="shared" si="145"/>
        <v>0</v>
      </c>
      <c r="BT22" s="146" t="s">
        <v>8</v>
      </c>
      <c r="BU22" s="154" t="s">
        <v>8</v>
      </c>
      <c r="BV22" s="157">
        <f t="shared" si="146"/>
        <v>0.64307500852205046</v>
      </c>
      <c r="BW22" s="155">
        <f t="shared" si="147"/>
        <v>2.8024014692269894E-2</v>
      </c>
      <c r="BX22" s="53">
        <f t="shared" si="148"/>
        <v>350881.9833864487</v>
      </c>
      <c r="BY22" s="158">
        <f t="shared" si="149"/>
        <v>0</v>
      </c>
      <c r="BZ22" s="146" t="s">
        <v>8</v>
      </c>
      <c r="CA22" s="154" t="s">
        <v>8</v>
      </c>
      <c r="CB22" s="157">
        <f t="shared" si="150"/>
        <v>0.64307500852205046</v>
      </c>
      <c r="CC22" s="155">
        <f t="shared" si="151"/>
        <v>2.8024014692269894E-2</v>
      </c>
      <c r="CD22" s="53">
        <f t="shared" si="152"/>
        <v>350881.9833864487</v>
      </c>
      <c r="CE22" s="158">
        <f t="shared" si="153"/>
        <v>0</v>
      </c>
      <c r="CF22" s="146" t="s">
        <v>8</v>
      </c>
      <c r="CG22" s="154" t="s">
        <v>8</v>
      </c>
      <c r="CH22" s="157">
        <f t="shared" si="154"/>
        <v>0.64307500852205046</v>
      </c>
      <c r="CI22" s="155">
        <f t="shared" si="155"/>
        <v>2.8024014692269894E-2</v>
      </c>
      <c r="CJ22" s="53">
        <f t="shared" si="156"/>
        <v>350881.9833864487</v>
      </c>
      <c r="CK22" s="158">
        <f t="shared" si="157"/>
        <v>0</v>
      </c>
      <c r="CL22" s="146" t="s">
        <v>8</v>
      </c>
      <c r="CM22" s="154" t="s">
        <v>8</v>
      </c>
      <c r="CN22" s="157">
        <f t="shared" si="158"/>
        <v>0.64307500852205046</v>
      </c>
      <c r="CO22" s="155">
        <f t="shared" si="159"/>
        <v>2.8024014692269894E-2</v>
      </c>
      <c r="CP22" s="53">
        <f t="shared" si="160"/>
        <v>350881.9833864487</v>
      </c>
      <c r="CQ22" s="158">
        <f t="shared" si="161"/>
        <v>0</v>
      </c>
      <c r="CR22" s="146" t="s">
        <v>8</v>
      </c>
      <c r="CS22" s="154" t="s">
        <v>8</v>
      </c>
      <c r="CT22" s="157">
        <f t="shared" si="162"/>
        <v>0.64307500852205046</v>
      </c>
      <c r="CU22" s="155">
        <f t="shared" si="163"/>
        <v>2.8024014692269894E-2</v>
      </c>
      <c r="CV22" s="53">
        <f t="shared" si="164"/>
        <v>350881.9833864487</v>
      </c>
      <c r="CW22" s="158">
        <f t="shared" si="165"/>
        <v>0</v>
      </c>
      <c r="CX22" s="146" t="s">
        <v>8</v>
      </c>
      <c r="CY22" s="154" t="s">
        <v>8</v>
      </c>
      <c r="CZ22" s="157">
        <f t="shared" si="166"/>
        <v>0.64307500852205046</v>
      </c>
      <c r="DA22" s="155">
        <f t="shared" si="167"/>
        <v>2.8024014692269894E-2</v>
      </c>
      <c r="DB22" s="53">
        <f t="shared" si="168"/>
        <v>350881.9833864487</v>
      </c>
      <c r="DC22" s="158">
        <f t="shared" si="169"/>
        <v>0</v>
      </c>
      <c r="DD22" s="146" t="s">
        <v>8</v>
      </c>
      <c r="DE22" s="154" t="s">
        <v>8</v>
      </c>
      <c r="DF22" s="157">
        <f t="shared" si="170"/>
        <v>0.64307500852205046</v>
      </c>
      <c r="DG22" s="155">
        <f t="shared" si="171"/>
        <v>2.8024014692269894E-2</v>
      </c>
      <c r="DH22" s="53">
        <f t="shared" si="172"/>
        <v>350881.9833864487</v>
      </c>
      <c r="DI22" s="158">
        <f t="shared" si="173"/>
        <v>0</v>
      </c>
      <c r="DJ22" s="146" t="s">
        <v>8</v>
      </c>
      <c r="DK22" s="154" t="s">
        <v>8</v>
      </c>
      <c r="DL22" s="157">
        <f t="shared" si="174"/>
        <v>0.64307500852205046</v>
      </c>
      <c r="DM22" s="155">
        <f t="shared" si="175"/>
        <v>2.8024014692269894E-2</v>
      </c>
      <c r="DN22" s="53">
        <f t="shared" si="176"/>
        <v>350881.9833864487</v>
      </c>
      <c r="DO22" s="158">
        <f t="shared" si="177"/>
        <v>0</v>
      </c>
      <c r="DP22" s="146" t="s">
        <v>8</v>
      </c>
      <c r="DQ22" s="154" t="s">
        <v>8</v>
      </c>
      <c r="DR22" s="157">
        <f t="shared" si="178"/>
        <v>0.64307500852205046</v>
      </c>
      <c r="DS22" s="155">
        <f t="shared" si="179"/>
        <v>2.8024014692269894E-2</v>
      </c>
      <c r="DT22" s="53">
        <f t="shared" si="180"/>
        <v>350881.9833864487</v>
      </c>
      <c r="DU22" s="158">
        <f t="shared" si="181"/>
        <v>0</v>
      </c>
      <c r="DV22" s="146" t="s">
        <v>8</v>
      </c>
      <c r="DW22" s="154" t="s">
        <v>8</v>
      </c>
      <c r="DX22" s="35">
        <f t="shared" si="182"/>
        <v>0.64307500852205046</v>
      </c>
      <c r="DY22" s="155">
        <f t="shared" si="183"/>
        <v>2.8024014692269894E-2</v>
      </c>
      <c r="DZ22" s="34">
        <f t="shared" si="184"/>
        <v>350881.9833864487</v>
      </c>
      <c r="EA22" s="156">
        <f t="shared" si="185"/>
        <v>0</v>
      </c>
      <c r="EB22" s="146" t="s">
        <v>8</v>
      </c>
      <c r="EC22" s="154" t="s">
        <v>8</v>
      </c>
      <c r="ED22" s="35">
        <f t="shared" si="186"/>
        <v>0.64307500852205046</v>
      </c>
      <c r="EE22" s="155">
        <f t="shared" si="187"/>
        <v>2.8024014692269894E-2</v>
      </c>
      <c r="EF22" s="34">
        <f t="shared" si="188"/>
        <v>350881.9833864487</v>
      </c>
      <c r="EG22" s="156">
        <f t="shared" si="189"/>
        <v>0</v>
      </c>
      <c r="EH22" s="146" t="s">
        <v>8</v>
      </c>
      <c r="EI22" s="154" t="s">
        <v>8</v>
      </c>
      <c r="EJ22" s="35">
        <f t="shared" si="190"/>
        <v>0.64307500852205046</v>
      </c>
      <c r="EK22" s="155">
        <f t="shared" si="191"/>
        <v>2.8024014692269894E-2</v>
      </c>
      <c r="EL22" s="34">
        <f t="shared" si="192"/>
        <v>350881.9833864487</v>
      </c>
      <c r="EM22" s="156">
        <f t="shared" si="193"/>
        <v>0</v>
      </c>
      <c r="EN22" s="146" t="s">
        <v>8</v>
      </c>
      <c r="EO22" s="154" t="s">
        <v>8</v>
      </c>
      <c r="EP22" s="35">
        <f t="shared" si="194"/>
        <v>0.64307500852205046</v>
      </c>
      <c r="EQ22" s="155">
        <f t="shared" si="195"/>
        <v>2.8024014692269894E-2</v>
      </c>
      <c r="ER22" s="34">
        <f t="shared" si="196"/>
        <v>350881.9833864487</v>
      </c>
      <c r="ES22" s="156">
        <f t="shared" si="197"/>
        <v>0</v>
      </c>
      <c r="ET22" s="146" t="s">
        <v>8</v>
      </c>
      <c r="EU22" s="154" t="s">
        <v>8</v>
      </c>
      <c r="EV22" s="35">
        <f t="shared" si="198"/>
        <v>0.64307500852205046</v>
      </c>
      <c r="EW22" s="155">
        <f t="shared" si="199"/>
        <v>2.8024014692269894E-2</v>
      </c>
      <c r="EX22" s="34">
        <f t="shared" si="200"/>
        <v>350881.9833864487</v>
      </c>
      <c r="EY22" s="156">
        <f t="shared" si="201"/>
        <v>0</v>
      </c>
      <c r="EZ22" s="146" t="s">
        <v>8</v>
      </c>
      <c r="FA22" s="154" t="s">
        <v>8</v>
      </c>
      <c r="FB22" s="35">
        <f t="shared" si="202"/>
        <v>0.64307500852205046</v>
      </c>
      <c r="FC22" s="155">
        <f t="shared" si="203"/>
        <v>2.8024014692269894E-2</v>
      </c>
      <c r="FD22" s="34">
        <f t="shared" si="204"/>
        <v>350881.9833864487</v>
      </c>
      <c r="FE22" s="156">
        <f t="shared" si="205"/>
        <v>0</v>
      </c>
      <c r="FF22" s="146" t="s">
        <v>8</v>
      </c>
      <c r="FG22" s="154" t="s">
        <v>8</v>
      </c>
      <c r="FH22" s="35">
        <f t="shared" si="206"/>
        <v>0.64307500852205046</v>
      </c>
      <c r="FI22" s="155">
        <f t="shared" si="207"/>
        <v>2.8024014692269894E-2</v>
      </c>
      <c r="FJ22" s="34">
        <f t="shared" si="208"/>
        <v>350881.9833864487</v>
      </c>
      <c r="FK22" s="156">
        <f t="shared" si="209"/>
        <v>0</v>
      </c>
      <c r="FL22" s="146" t="s">
        <v>8</v>
      </c>
      <c r="FM22" s="154" t="s">
        <v>8</v>
      </c>
      <c r="FN22" s="35">
        <f t="shared" si="210"/>
        <v>0.64307500852205046</v>
      </c>
      <c r="FO22" s="155">
        <f t="shared" si="211"/>
        <v>2.8024014692269894E-2</v>
      </c>
      <c r="FP22" s="34">
        <f t="shared" si="212"/>
        <v>350881.9833864487</v>
      </c>
      <c r="FQ22" s="156">
        <f t="shared" si="213"/>
        <v>0</v>
      </c>
      <c r="FR22" s="146" t="s">
        <v>8</v>
      </c>
      <c r="FS22" s="154" t="s">
        <v>8</v>
      </c>
      <c r="FT22" s="35">
        <f t="shared" si="214"/>
        <v>0.64307500852205046</v>
      </c>
      <c r="FU22" s="155">
        <f t="shared" si="215"/>
        <v>2.8024014692269894E-2</v>
      </c>
      <c r="FV22" s="34">
        <f t="shared" si="216"/>
        <v>350881.9833864487</v>
      </c>
      <c r="FW22" s="156">
        <f t="shared" si="217"/>
        <v>0</v>
      </c>
      <c r="FX22" s="146" t="s">
        <v>8</v>
      </c>
      <c r="FY22" s="154" t="s">
        <v>8</v>
      </c>
      <c r="FZ22" s="35">
        <f t="shared" si="218"/>
        <v>0.64307500852205046</v>
      </c>
      <c r="GA22" s="155">
        <f t="shared" si="219"/>
        <v>2.8024014692269894E-2</v>
      </c>
      <c r="GB22" s="34">
        <f t="shared" si="220"/>
        <v>350881.9833864487</v>
      </c>
      <c r="GC22" s="156">
        <f t="shared" si="221"/>
        <v>0</v>
      </c>
      <c r="GD22" s="146" t="s">
        <v>8</v>
      </c>
      <c r="GE22" s="154" t="s">
        <v>8</v>
      </c>
      <c r="GF22" s="35">
        <f t="shared" si="222"/>
        <v>0.64307500852205046</v>
      </c>
      <c r="GG22" s="155">
        <f t="shared" si="223"/>
        <v>2.8024014692269894E-2</v>
      </c>
      <c r="GH22" s="34">
        <f t="shared" si="224"/>
        <v>350881.9833864487</v>
      </c>
      <c r="GI22" s="158">
        <f t="shared" si="225"/>
        <v>0</v>
      </c>
      <c r="GJ22" s="176">
        <f t="shared" si="228"/>
        <v>2474773.0454963781</v>
      </c>
      <c r="GK22" s="99">
        <f t="shared" si="226"/>
        <v>2618897.6912398133</v>
      </c>
      <c r="GL22" s="217">
        <f t="shared" si="227"/>
        <v>0.64307500852205057</v>
      </c>
      <c r="GM22" s="221">
        <f t="shared" si="229"/>
        <v>2618897.69</v>
      </c>
      <c r="GN22" s="209"/>
      <c r="GO22" s="232"/>
      <c r="GP22" s="212"/>
    </row>
    <row r="23" spans="1:198" s="29" customFormat="1" ht="16.5" thickBot="1" x14ac:dyDescent="0.3">
      <c r="A23" s="103" t="s">
        <v>6</v>
      </c>
      <c r="B23" s="125">
        <v>27399722</v>
      </c>
      <c r="C23" s="121">
        <v>10</v>
      </c>
      <c r="D23" s="81">
        <f>B23*C23/100</f>
        <v>2739972.2</v>
      </c>
      <c r="E23" s="110">
        <f>100-C23</f>
        <v>90</v>
      </c>
      <c r="F23" s="81">
        <f>B23-D23</f>
        <v>24659749.800000001</v>
      </c>
      <c r="G23" s="109">
        <f>SUM(G9:G22)</f>
        <v>11958</v>
      </c>
      <c r="H23" s="109">
        <f>SUM(H9:H22)</f>
        <v>14826070.784476075</v>
      </c>
      <c r="I23" s="45" t="s">
        <v>8</v>
      </c>
      <c r="J23" s="183">
        <f>H23/G23</f>
        <v>1239.8453574574407</v>
      </c>
      <c r="K23" s="120" t="s">
        <v>8</v>
      </c>
      <c r="L23" s="78">
        <f>SUM(L9:L22)</f>
        <v>2739972.2</v>
      </c>
      <c r="M23" s="74" t="s">
        <v>8</v>
      </c>
      <c r="N23" s="46">
        <f>(SUMIF(M9:M22,"&lt;1")+1)/(COUNTIFS(M9:M22,"&lt;1")+1)</f>
        <v>0.16112733973935203</v>
      </c>
      <c r="O23" s="47" t="s">
        <v>8</v>
      </c>
      <c r="P23" s="44">
        <f>SUM(P9:P22)</f>
        <v>4930657.2961832052</v>
      </c>
      <c r="Q23" s="44">
        <f>SUM(Q9:Q22)</f>
        <v>4930657.2961832052</v>
      </c>
      <c r="R23" s="83">
        <f>F23-Q23</f>
        <v>19729092.503816795</v>
      </c>
      <c r="S23" s="46">
        <f>(SUMIF(T9:T22,"&lt;1")+1)/(COUNTIFS(T9:T22,"&lt;1")+1)</f>
        <v>0.26707939912933237</v>
      </c>
      <c r="T23" s="47" t="s">
        <v>8</v>
      </c>
      <c r="U23" s="47" t="s">
        <v>8</v>
      </c>
      <c r="V23" s="44">
        <f>SUM(V9:V22)</f>
        <v>5634373.0008445783</v>
      </c>
      <c r="W23" s="44">
        <f>SUM(W9:W22)</f>
        <v>5634373.0008445783</v>
      </c>
      <c r="X23" s="83">
        <f>R23-W23</f>
        <v>14094719.502972215</v>
      </c>
      <c r="Y23" s="46">
        <f>(SUMIF(Z9:Z22,"&lt;1")+1)/(COUNTIFS(Z9:Z22,"&lt;1")+1)</f>
        <v>0.38133555260389662</v>
      </c>
      <c r="Z23" s="47" t="s">
        <v>8</v>
      </c>
      <c r="AA23" s="47" t="s">
        <v>8</v>
      </c>
      <c r="AB23" s="44">
        <f>SUM(AB9:AB22)</f>
        <v>5526195.4068560051</v>
      </c>
      <c r="AC23" s="44">
        <f>SUM(AC9:AC22)</f>
        <v>5526195.4068560051</v>
      </c>
      <c r="AD23" s="83">
        <f>X23-AC23</f>
        <v>8568524.0961162113</v>
      </c>
      <c r="AE23" s="46">
        <f>(SUMIF(AF9:AF22,"&lt;1")+1)/(COUNTIFS(AF9:AF22,"&lt;1")+1)</f>
        <v>0.49530216528591248</v>
      </c>
      <c r="AF23" s="47" t="s">
        <v>8</v>
      </c>
      <c r="AG23" s="47" t="s">
        <v>8</v>
      </c>
      <c r="AH23" s="44">
        <f>SUM(AH9:AH22)</f>
        <v>5011769.4340569526</v>
      </c>
      <c r="AI23" s="44">
        <f>SUM(AI9:AI22)</f>
        <v>5011769.4340569526</v>
      </c>
      <c r="AJ23" s="83">
        <f>AD23-AI23</f>
        <v>3556754.6620592587</v>
      </c>
      <c r="AK23" s="46">
        <f>(SUMIF(AL9:AL22,"&lt;1")+1)/(COUNTIFS(AL9:AL22,"&lt;1")+1)</f>
        <v>0.59716086056526541</v>
      </c>
      <c r="AL23" s="47" t="s">
        <v>8</v>
      </c>
      <c r="AM23" s="47" t="s">
        <v>8</v>
      </c>
      <c r="AN23" s="44">
        <f>SUM(AN9:AN22)</f>
        <v>3925514.5762731349</v>
      </c>
      <c r="AO23" s="44">
        <f>SUM(AO9:AO22)</f>
        <v>3556754.6620592587</v>
      </c>
      <c r="AP23" s="83">
        <f>AJ23-AO23</f>
        <v>0</v>
      </c>
      <c r="AQ23" s="46">
        <f>(SUMIF(AR9:AR22,"&lt;1")+1)/(COUNTIFS(AR9:AR22,"&lt;1")+1)</f>
        <v>0.67109902321432036</v>
      </c>
      <c r="AR23" s="47" t="s">
        <v>8</v>
      </c>
      <c r="AS23" s="47" t="s">
        <v>8</v>
      </c>
      <c r="AT23" s="44">
        <f>SUM(AT9:AT22)</f>
        <v>3542848.4494044455</v>
      </c>
      <c r="AU23" s="81">
        <f>SUM(AU9:AU22)</f>
        <v>0</v>
      </c>
      <c r="AV23" s="83">
        <f>AP23-AU23</f>
        <v>0</v>
      </c>
      <c r="AW23" s="46">
        <f>(SUMIF(AX9:AX22,"&lt;1")+1)/(COUNTIFS(AX9:AX22,"&lt;1")+1)</f>
        <v>0.67109902321432036</v>
      </c>
      <c r="AX23" s="47" t="s">
        <v>8</v>
      </c>
      <c r="AY23" s="47" t="s">
        <v>8</v>
      </c>
      <c r="AZ23" s="44">
        <f>SUM(AZ9:AZ22)</f>
        <v>3542848.4494044455</v>
      </c>
      <c r="BA23" s="44">
        <f>SUM(BA9:BA22)</f>
        <v>0</v>
      </c>
      <c r="BB23" s="83">
        <f>AV23-BA23</f>
        <v>0</v>
      </c>
      <c r="BC23" s="46">
        <f>(SUMIF(BD9:BD22,"&lt;1")+1)/(COUNTIFS(BD9:BD22,"&lt;1")+1)</f>
        <v>0.67109902321432036</v>
      </c>
      <c r="BD23" s="47" t="s">
        <v>8</v>
      </c>
      <c r="BE23" s="47" t="s">
        <v>8</v>
      </c>
      <c r="BF23" s="44">
        <f>SUM(BF9:BF22)</f>
        <v>3542848.4494044455</v>
      </c>
      <c r="BG23" s="44">
        <f>SUM(BG9:BG22)</f>
        <v>0</v>
      </c>
      <c r="BH23" s="83">
        <f>BB23-BG23</f>
        <v>0</v>
      </c>
      <c r="BI23" s="46">
        <f>(SUMIF(BJ9:BJ22,"&lt;1")+1)/(COUNTIFS(BJ9:BJ22,"&lt;1")+1)</f>
        <v>0.67109902321432036</v>
      </c>
      <c r="BJ23" s="47" t="s">
        <v>8</v>
      </c>
      <c r="BK23" s="47" t="s">
        <v>8</v>
      </c>
      <c r="BL23" s="44">
        <f>SUM(BL9:BL22)</f>
        <v>3542848.4494044455</v>
      </c>
      <c r="BM23" s="44">
        <f>SUM(BM9:BM22)</f>
        <v>0</v>
      </c>
      <c r="BN23" s="83">
        <f>BH23-BM23</f>
        <v>0</v>
      </c>
      <c r="BO23" s="46">
        <f>(SUMIF(BP9:BP22,"&lt;1")+1)/(COUNTIFS(BP9:BP22,"&lt;1")+1)</f>
        <v>0.67109902321432036</v>
      </c>
      <c r="BP23" s="47" t="s">
        <v>8</v>
      </c>
      <c r="BQ23" s="47" t="s">
        <v>8</v>
      </c>
      <c r="BR23" s="44">
        <f>SUM(BR9:BR22)</f>
        <v>3542848.4494044455</v>
      </c>
      <c r="BS23" s="44">
        <f>SUM(BS9:BS22)</f>
        <v>0</v>
      </c>
      <c r="BT23" s="83">
        <f>BN23-BS23</f>
        <v>0</v>
      </c>
      <c r="BU23" s="46">
        <f>(SUMIF(BV9:BV22,"&lt;1")+1)/(COUNTIFS(BV9:BV22,"&lt;1")+1)</f>
        <v>0.67109902321432036</v>
      </c>
      <c r="BV23" s="47" t="s">
        <v>8</v>
      </c>
      <c r="BW23" s="47" t="s">
        <v>8</v>
      </c>
      <c r="BX23" s="44">
        <f>SUM(BX9:BX22)</f>
        <v>3542848.4494044455</v>
      </c>
      <c r="BY23" s="44">
        <f>SUM(BY9:BY22)</f>
        <v>0</v>
      </c>
      <c r="BZ23" s="83">
        <f>BT23-BY23</f>
        <v>0</v>
      </c>
      <c r="CA23" s="46">
        <f>(SUMIF(CB9:CB22,"&lt;1")+1)/(COUNTIFS(CB9:CB22,"&lt;1")+1)</f>
        <v>0.67109902321432036</v>
      </c>
      <c r="CB23" s="47" t="s">
        <v>8</v>
      </c>
      <c r="CC23" s="47" t="s">
        <v>8</v>
      </c>
      <c r="CD23" s="44">
        <f>SUM(CD9:CD22)</f>
        <v>3542848.4494044455</v>
      </c>
      <c r="CE23" s="44">
        <f>SUM(CE9:CE22)</f>
        <v>0</v>
      </c>
      <c r="CF23" s="83">
        <f>BZ23-CE23</f>
        <v>0</v>
      </c>
      <c r="CG23" s="46">
        <f>(SUMIF(CH9:CH22,"&lt;1")+1)/(COUNTIFS(CH9:CH22,"&lt;1")+1)</f>
        <v>0.67109902321432036</v>
      </c>
      <c r="CH23" s="47" t="s">
        <v>8</v>
      </c>
      <c r="CI23" s="47" t="s">
        <v>8</v>
      </c>
      <c r="CJ23" s="44">
        <f>SUM(CJ9:CJ22)</f>
        <v>3542848.4494044455</v>
      </c>
      <c r="CK23" s="44">
        <f>SUM(CK9:CK22)</f>
        <v>0</v>
      </c>
      <c r="CL23" s="83">
        <f>CF23-CK23</f>
        <v>0</v>
      </c>
      <c r="CM23" s="46">
        <f>(SUMIF(CN9:CN22,"&lt;1")+1)/(COUNTIFS(CN9:CN22,"&lt;1")+1)</f>
        <v>0.67109902321432036</v>
      </c>
      <c r="CN23" s="47" t="s">
        <v>8</v>
      </c>
      <c r="CO23" s="47" t="s">
        <v>8</v>
      </c>
      <c r="CP23" s="44">
        <f>SUM(CP9:CP22)</f>
        <v>3542848.4494044455</v>
      </c>
      <c r="CQ23" s="44">
        <f>SUM(CQ9:CQ22)</f>
        <v>0</v>
      </c>
      <c r="CR23" s="83">
        <f>CL23-CQ23</f>
        <v>0</v>
      </c>
      <c r="CS23" s="46">
        <f>(SUMIF(CT9:CT22,"&lt;1")+1)/(COUNTIFS(CT9:CT22,"&lt;1")+1)</f>
        <v>0.67109902321432036</v>
      </c>
      <c r="CT23" s="47" t="s">
        <v>8</v>
      </c>
      <c r="CU23" s="47" t="s">
        <v>8</v>
      </c>
      <c r="CV23" s="44">
        <f>SUM(CV9:CV22)</f>
        <v>3542848.4494044455</v>
      </c>
      <c r="CW23" s="44">
        <f>SUM(CW9:CW22)</f>
        <v>0</v>
      </c>
      <c r="CX23" s="83">
        <f>CR23-CW23</f>
        <v>0</v>
      </c>
      <c r="CY23" s="46">
        <f>(SUMIF(CZ9:CZ22,"&lt;1")+1)/(COUNTIFS(CZ9:CZ22,"&lt;1")+1)</f>
        <v>0.67109902321432036</v>
      </c>
      <c r="CZ23" s="47" t="s">
        <v>8</v>
      </c>
      <c r="DA23" s="47" t="s">
        <v>8</v>
      </c>
      <c r="DB23" s="44">
        <f>SUM(DB9:DB22)</f>
        <v>3542848.4494044455</v>
      </c>
      <c r="DC23" s="44">
        <f>SUM(DC9:DC22)</f>
        <v>0</v>
      </c>
      <c r="DD23" s="83">
        <f>CX23-DC23</f>
        <v>0</v>
      </c>
      <c r="DE23" s="46">
        <f>(SUMIF(DF9:DF22,"&lt;1")+1)/(COUNTIFS(DF9:DF22,"&lt;1")+1)</f>
        <v>0.67109902321432036</v>
      </c>
      <c r="DF23" s="47" t="s">
        <v>8</v>
      </c>
      <c r="DG23" s="47" t="s">
        <v>8</v>
      </c>
      <c r="DH23" s="44">
        <f>SUM(DH9:DH22)</f>
        <v>3542848.4494044455</v>
      </c>
      <c r="DI23" s="44">
        <f>SUM(DI9:DI22)</f>
        <v>0</v>
      </c>
      <c r="DJ23" s="83">
        <f>DD23-DI23</f>
        <v>0</v>
      </c>
      <c r="DK23" s="46">
        <f>(SUMIF(DL9:DL22,"&lt;1")+1)/(COUNTIFS(DL9:DL22,"&lt;1")+1)</f>
        <v>0.67109902321432036</v>
      </c>
      <c r="DL23" s="47" t="s">
        <v>8</v>
      </c>
      <c r="DM23" s="47" t="s">
        <v>8</v>
      </c>
      <c r="DN23" s="44">
        <f>SUM(DN9:DN22)</f>
        <v>3542848.4494044455</v>
      </c>
      <c r="DO23" s="44">
        <f>SUM(DO9:DO22)</f>
        <v>0</v>
      </c>
      <c r="DP23" s="83">
        <f>DJ23-DO23</f>
        <v>0</v>
      </c>
      <c r="DQ23" s="46">
        <f>(SUMIF(DR9:DR22,"&lt;1")+1)/(COUNTIFS(DR9:DR22,"&lt;1")+1)</f>
        <v>0.67109902321432036</v>
      </c>
      <c r="DR23" s="47" t="s">
        <v>8</v>
      </c>
      <c r="DS23" s="47" t="s">
        <v>8</v>
      </c>
      <c r="DT23" s="44">
        <f>SUM(DT9:DT22)</f>
        <v>3542848.4494044455</v>
      </c>
      <c r="DU23" s="44">
        <f>SUM(DU9:DU22)</f>
        <v>0</v>
      </c>
      <c r="DV23" s="83">
        <f>DP23-DU23</f>
        <v>0</v>
      </c>
      <c r="DW23" s="46">
        <f>(SUMIF(DX9:DX22,"&lt;1")+1)/(COUNTIFS(DX9:DX22,"&lt;1")+1)</f>
        <v>0.67109902321432036</v>
      </c>
      <c r="DX23" s="47" t="s">
        <v>8</v>
      </c>
      <c r="DY23" s="47" t="s">
        <v>8</v>
      </c>
      <c r="DZ23" s="159">
        <f>SUM(DZ9:DZ22)</f>
        <v>3542848.4494044455</v>
      </c>
      <c r="EA23" s="44">
        <f>SUM(EA9:EA22)</f>
        <v>0</v>
      </c>
      <c r="EB23" s="83">
        <f>DV23-EA23</f>
        <v>0</v>
      </c>
      <c r="EC23" s="46">
        <f>(SUMIF(ED9:ED22,"&lt;1")+1)/(COUNTIFS(ED9:ED22,"&lt;1")+1)</f>
        <v>0.67109902321432036</v>
      </c>
      <c r="ED23" s="47" t="s">
        <v>8</v>
      </c>
      <c r="EE23" s="47" t="s">
        <v>8</v>
      </c>
      <c r="EF23" s="159">
        <f>SUM(EF9:EF22)</f>
        <v>3542848.4494044455</v>
      </c>
      <c r="EG23" s="44">
        <f>SUM(EG9:EG22)</f>
        <v>0</v>
      </c>
      <c r="EH23" s="83">
        <f>EB23-EG23</f>
        <v>0</v>
      </c>
      <c r="EI23" s="46">
        <f>(SUMIF(EJ9:EJ22,"&lt;1")+1)/(COUNTIFS(EJ9:EJ22,"&lt;1")+1)</f>
        <v>0.67109902321432036</v>
      </c>
      <c r="EJ23" s="47" t="s">
        <v>8</v>
      </c>
      <c r="EK23" s="47" t="s">
        <v>8</v>
      </c>
      <c r="EL23" s="159">
        <f>SUM(EL9:EL22)</f>
        <v>3542848.4494044455</v>
      </c>
      <c r="EM23" s="44">
        <f>SUM(EM9:EM22)</f>
        <v>0</v>
      </c>
      <c r="EN23" s="83">
        <f>EH23-EM23</f>
        <v>0</v>
      </c>
      <c r="EO23" s="46">
        <f>(SUMIF(EP9:EP22,"&lt;1")+1)/(COUNTIFS(EP9:EP22,"&lt;1")+1)</f>
        <v>0.67109902321432036</v>
      </c>
      <c r="EP23" s="47" t="s">
        <v>8</v>
      </c>
      <c r="EQ23" s="47" t="s">
        <v>8</v>
      </c>
      <c r="ER23" s="159">
        <f>SUM(ER9:ER22)</f>
        <v>3542848.4494044455</v>
      </c>
      <c r="ES23" s="44">
        <f>SUM(ES9:ES22)</f>
        <v>0</v>
      </c>
      <c r="ET23" s="83">
        <f>EN23-ES23</f>
        <v>0</v>
      </c>
      <c r="EU23" s="46">
        <f>(SUMIF(EV9:EV22,"&lt;1")+1)/(COUNTIFS(EV9:EV22,"&lt;1")+1)</f>
        <v>0.67109902321432036</v>
      </c>
      <c r="EV23" s="47" t="s">
        <v>8</v>
      </c>
      <c r="EW23" s="47" t="s">
        <v>8</v>
      </c>
      <c r="EX23" s="159">
        <f>SUM(EX9:EX22)</f>
        <v>3542848.4494044455</v>
      </c>
      <c r="EY23" s="44">
        <f>SUM(EY9:EY22)</f>
        <v>0</v>
      </c>
      <c r="EZ23" s="83">
        <f>ET23-EY23</f>
        <v>0</v>
      </c>
      <c r="FA23" s="46">
        <f>(SUMIF(FB9:FB22,"&lt;1")+1)/(COUNTIFS(FB9:FB22,"&lt;1")+1)</f>
        <v>0.67109902321432036</v>
      </c>
      <c r="FB23" s="47" t="s">
        <v>8</v>
      </c>
      <c r="FC23" s="47" t="s">
        <v>8</v>
      </c>
      <c r="FD23" s="159">
        <f>SUM(FD9:FD22)</f>
        <v>3542848.4494044455</v>
      </c>
      <c r="FE23" s="44">
        <f>SUM(FE9:FE22)</f>
        <v>0</v>
      </c>
      <c r="FF23" s="83">
        <f>EZ23-FE23</f>
        <v>0</v>
      </c>
      <c r="FG23" s="46">
        <f>(SUMIF(FH9:FH22,"&lt;1")+1)/(COUNTIFS(FH9:FH22,"&lt;1")+1)</f>
        <v>0.67109902321432036</v>
      </c>
      <c r="FH23" s="47" t="s">
        <v>8</v>
      </c>
      <c r="FI23" s="47" t="s">
        <v>8</v>
      </c>
      <c r="FJ23" s="159">
        <f>SUM(FJ9:FJ22)</f>
        <v>3542848.4494044455</v>
      </c>
      <c r="FK23" s="44">
        <f>SUM(FK9:FK22)</f>
        <v>0</v>
      </c>
      <c r="FL23" s="83">
        <f>FF23-FK23</f>
        <v>0</v>
      </c>
      <c r="FM23" s="46">
        <f>(SUMIF(FN9:FN22,"&lt;1")+1)/(COUNTIFS(FN9:FN22,"&lt;1")+1)</f>
        <v>0.67109902321432036</v>
      </c>
      <c r="FN23" s="47" t="s">
        <v>8</v>
      </c>
      <c r="FO23" s="47" t="s">
        <v>8</v>
      </c>
      <c r="FP23" s="159">
        <f>SUM(FP9:FP22)</f>
        <v>3542848.4494044455</v>
      </c>
      <c r="FQ23" s="44">
        <f>SUM(FQ9:FQ22)</f>
        <v>0</v>
      </c>
      <c r="FR23" s="83">
        <f>FL23-FQ23</f>
        <v>0</v>
      </c>
      <c r="FS23" s="46">
        <f>(SUMIF(FT9:FT22,"&lt;1")+1)/(COUNTIFS(FT9:FT22,"&lt;1")+1)</f>
        <v>0.67109902321432036</v>
      </c>
      <c r="FT23" s="47" t="s">
        <v>8</v>
      </c>
      <c r="FU23" s="47" t="s">
        <v>8</v>
      </c>
      <c r="FV23" s="159">
        <f>SUM(FV9:FV22)</f>
        <v>3542848.4494044455</v>
      </c>
      <c r="FW23" s="44">
        <f>SUM(FW9:FW22)</f>
        <v>0</v>
      </c>
      <c r="FX23" s="83">
        <f>FR23-FW23</f>
        <v>0</v>
      </c>
      <c r="FY23" s="46">
        <f>(SUMIF(FZ9:FZ22,"&lt;1")+1)/(COUNTIFS(FZ9:FZ22,"&lt;1")+1)</f>
        <v>0.67109902321432036</v>
      </c>
      <c r="FZ23" s="47" t="s">
        <v>8</v>
      </c>
      <c r="GA23" s="47" t="s">
        <v>8</v>
      </c>
      <c r="GB23" s="159">
        <f>SUM(GB9:GB22)</f>
        <v>3542848.4494044455</v>
      </c>
      <c r="GC23" s="44">
        <f>SUM(GC9:GC22)</f>
        <v>0</v>
      </c>
      <c r="GD23" s="83">
        <f>FX23-GC23</f>
        <v>0</v>
      </c>
      <c r="GE23" s="46">
        <f>(SUMIF(GF9:GF22,"&lt;1")+1)/(COUNTIFS(GF9:GF22,"&lt;1")+1)</f>
        <v>0.67109902321432036</v>
      </c>
      <c r="GF23" s="47" t="s">
        <v>8</v>
      </c>
      <c r="GG23" s="47" t="s">
        <v>8</v>
      </c>
      <c r="GH23" s="159">
        <f>SUM(GH9:GH22)</f>
        <v>3542848.4494044455</v>
      </c>
      <c r="GI23" s="44">
        <f>SUM(GI9:GI22)</f>
        <v>0</v>
      </c>
      <c r="GJ23" s="189">
        <f>SUM(GJ9:GJ22)</f>
        <v>24659749.799999993</v>
      </c>
      <c r="GK23" s="191">
        <f t="shared" si="226"/>
        <v>27399721.999999993</v>
      </c>
      <c r="GL23" s="218" t="s">
        <v>8</v>
      </c>
      <c r="GM23" s="221">
        <f>SUM(GM9:GM22)</f>
        <v>27399722</v>
      </c>
      <c r="GN23" s="209"/>
      <c r="GO23" s="232"/>
      <c r="GP23" s="224"/>
    </row>
    <row r="25" spans="1:198" x14ac:dyDescent="0.2">
      <c r="P25" s="24"/>
    </row>
    <row r="27" spans="1:198" x14ac:dyDescent="0.2">
      <c r="GJ27" s="129"/>
      <c r="GK27" s="129"/>
    </row>
    <row r="28" spans="1:198" x14ac:dyDescent="0.2">
      <c r="M28" s="23"/>
    </row>
  </sheetData>
  <protectedRanges>
    <protectedRange sqref="A9:A22 GO9:GO23" name="Диапазон3_1"/>
    <protectedRange sqref="A9:A22 GO9:GO23" name="Диапазон2_1"/>
  </protectedRanges>
  <sortState ref="GL27:GL40">
    <sortCondition ref="GL27"/>
  </sortState>
  <mergeCells count="49"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56" firstPageNumber="0" fitToWidth="14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3"/>
  <sheetViews>
    <sheetView topLeftCell="A4" zoomScale="80" zoomScaleNormal="80" workbookViewId="0">
      <selection activeCell="J10" sqref="J10"/>
    </sheetView>
  </sheetViews>
  <sheetFormatPr defaultRowHeight="12.75" x14ac:dyDescent="0.2"/>
  <cols>
    <col min="1" max="1" width="23.85546875" customWidth="1"/>
    <col min="2" max="2" width="16" customWidth="1"/>
    <col min="3" max="3" width="9.85546875" bestFit="1" customWidth="1"/>
    <col min="4" max="4" width="14.85546875" customWidth="1"/>
    <col min="5" max="5" width="9.85546875" customWidth="1"/>
    <col min="6" max="6" width="16" customWidth="1"/>
    <col min="7" max="7" width="8.7109375" customWidth="1"/>
    <col min="8" max="8" width="12.85546875" customWidth="1"/>
    <col min="9" max="9" width="8.28515625" customWidth="1"/>
    <col min="10" max="10" width="15.85546875" bestFit="1" customWidth="1"/>
    <col min="11" max="11" width="8.28515625" customWidth="1"/>
    <col min="12" max="12" width="14.85546875" customWidth="1"/>
    <col min="13" max="15" width="8.28515625" customWidth="1"/>
    <col min="16" max="17" width="14.85546875" customWidth="1"/>
    <col min="18" max="18" width="18.85546875" customWidth="1"/>
    <col min="19" max="21" width="8.28515625" customWidth="1"/>
    <col min="22" max="24" width="14.85546875" customWidth="1"/>
    <col min="25" max="27" width="8.28515625" customWidth="1"/>
    <col min="28" max="30" width="14.85546875" customWidth="1"/>
    <col min="31" max="33" width="8.28515625" customWidth="1"/>
    <col min="34" max="36" width="14.85546875" customWidth="1"/>
    <col min="37" max="39" width="8.28515625" customWidth="1"/>
    <col min="40" max="42" width="14.85546875" customWidth="1"/>
    <col min="43" max="45" width="8.28515625" customWidth="1"/>
    <col min="46" max="47" width="14.85546875" customWidth="1"/>
    <col min="48" max="48" width="12.85546875" customWidth="1"/>
    <col min="49" max="51" width="8.28515625" customWidth="1"/>
    <col min="52" max="52" width="16.42578125" customWidth="1"/>
    <col min="53" max="53" width="12.85546875" customWidth="1"/>
    <col min="54" max="54" width="8" customWidth="1"/>
    <col min="55" max="57" width="8.28515625" customWidth="1"/>
    <col min="58" max="58" width="14.85546875" customWidth="1"/>
    <col min="59" max="60" width="8" customWidth="1"/>
    <col min="61" max="63" width="8.28515625" customWidth="1"/>
    <col min="64" max="64" width="14.85546875" customWidth="1"/>
    <col min="65" max="66" width="8" customWidth="1"/>
    <col min="67" max="69" width="8.28515625" customWidth="1"/>
    <col min="70" max="70" width="14.85546875" customWidth="1"/>
    <col min="71" max="72" width="8" customWidth="1"/>
    <col min="73" max="75" width="8.28515625" customWidth="1"/>
    <col min="76" max="76" width="14.85546875" customWidth="1"/>
    <col min="77" max="78" width="8" customWidth="1"/>
    <col min="79" max="81" width="8.28515625" customWidth="1"/>
    <col min="82" max="82" width="14.85546875" customWidth="1"/>
    <col min="83" max="84" width="8" customWidth="1"/>
    <col min="85" max="87" width="8.28515625" customWidth="1"/>
    <col min="88" max="88" width="14.85546875" customWidth="1"/>
    <col min="89" max="90" width="8" customWidth="1"/>
    <col min="91" max="93" width="8.28515625" customWidth="1"/>
    <col min="94" max="94" width="14.85546875" customWidth="1"/>
    <col min="95" max="96" width="8" customWidth="1"/>
    <col min="97" max="99" width="8.28515625" customWidth="1"/>
    <col min="100" max="100" width="14.85546875" customWidth="1"/>
    <col min="101" max="102" width="8" customWidth="1"/>
    <col min="103" max="105" width="8.28515625" customWidth="1"/>
    <col min="106" max="106" width="14.85546875" customWidth="1"/>
    <col min="107" max="108" width="8" customWidth="1"/>
    <col min="109" max="111" width="8.28515625" customWidth="1"/>
    <col min="112" max="112" width="14.85546875" customWidth="1"/>
    <col min="113" max="114" width="8" customWidth="1"/>
    <col min="115" max="117" width="8.28515625" customWidth="1"/>
    <col min="118" max="118" width="14.85546875" customWidth="1"/>
    <col min="119" max="120" width="8" customWidth="1"/>
    <col min="121" max="123" width="8.28515625" customWidth="1"/>
    <col min="124" max="124" width="14.85546875" customWidth="1"/>
    <col min="125" max="126" width="8" customWidth="1"/>
    <col min="127" max="129" width="8.28515625" customWidth="1"/>
    <col min="130" max="130" width="14.85546875" customWidth="1"/>
    <col min="131" max="132" width="8" customWidth="1"/>
    <col min="133" max="135" width="8.28515625" customWidth="1"/>
    <col min="136" max="136" width="14.85546875" customWidth="1"/>
    <col min="137" max="138" width="8" customWidth="1"/>
    <col min="139" max="141" width="8.28515625" customWidth="1"/>
    <col min="142" max="142" width="14.85546875" customWidth="1"/>
    <col min="143" max="144" width="8" customWidth="1"/>
    <col min="145" max="147" width="8.28515625" customWidth="1"/>
    <col min="148" max="148" width="14.85546875" customWidth="1"/>
    <col min="149" max="150" width="8" customWidth="1"/>
    <col min="151" max="153" width="8.28515625" customWidth="1"/>
    <col min="154" max="154" width="14.85546875" customWidth="1"/>
    <col min="155" max="156" width="8" customWidth="1"/>
    <col min="157" max="159" width="8.28515625" customWidth="1"/>
    <col min="160" max="160" width="14.85546875" customWidth="1"/>
    <col min="161" max="162" width="8" customWidth="1"/>
    <col min="163" max="165" width="8.28515625" customWidth="1"/>
    <col min="166" max="166" width="14.85546875" customWidth="1"/>
    <col min="167" max="168" width="8" customWidth="1"/>
    <col min="169" max="171" width="8.28515625" customWidth="1"/>
    <col min="172" max="172" width="14.85546875" customWidth="1"/>
    <col min="173" max="174" width="8" customWidth="1"/>
    <col min="175" max="177" width="8.28515625" customWidth="1"/>
    <col min="178" max="178" width="14.85546875" customWidth="1"/>
    <col min="179" max="180" width="8" customWidth="1"/>
    <col min="181" max="183" width="8.28515625" customWidth="1"/>
    <col min="184" max="184" width="14.85546875" customWidth="1"/>
    <col min="185" max="186" width="8" customWidth="1"/>
    <col min="187" max="189" width="8.28515625" customWidth="1"/>
    <col min="190" max="190" width="14.85546875" customWidth="1"/>
    <col min="191" max="191" width="8" customWidth="1"/>
    <col min="192" max="193" width="16" customWidth="1"/>
    <col min="194" max="194" width="14.42578125" customWidth="1"/>
    <col min="195" max="195" width="18.140625" customWidth="1"/>
    <col min="196" max="196" width="18.5703125" customWidth="1"/>
  </cols>
  <sheetData>
    <row r="1" spans="1:196" ht="20.25" x14ac:dyDescent="0.2">
      <c r="A1" s="122"/>
      <c r="B1" s="122" t="s">
        <v>204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</row>
    <row r="2" spans="1:196" ht="16.5" thickBo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</row>
    <row r="3" spans="1:196" ht="16.5" thickBot="1" x14ac:dyDescent="0.25">
      <c r="A3" s="262" t="s">
        <v>7</v>
      </c>
      <c r="B3" s="265" t="s">
        <v>58</v>
      </c>
      <c r="C3" s="268" t="s">
        <v>9</v>
      </c>
      <c r="D3" s="269"/>
      <c r="E3" s="269"/>
      <c r="F3" s="270"/>
      <c r="G3" s="285" t="s">
        <v>59</v>
      </c>
      <c r="H3" s="286"/>
      <c r="I3" s="286"/>
      <c r="J3" s="287"/>
      <c r="K3" s="293" t="s">
        <v>80</v>
      </c>
      <c r="L3" s="69" t="s">
        <v>51</v>
      </c>
      <c r="M3" s="290" t="s">
        <v>76</v>
      </c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291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291"/>
      <c r="BA3" s="291"/>
      <c r="BB3" s="291"/>
      <c r="BC3" s="291"/>
      <c r="BD3" s="291"/>
      <c r="BE3" s="291"/>
      <c r="BF3" s="291"/>
      <c r="BG3" s="291"/>
      <c r="BH3" s="291"/>
      <c r="BI3" s="291"/>
      <c r="BJ3" s="291"/>
      <c r="BK3" s="291"/>
      <c r="BL3" s="291"/>
      <c r="BM3" s="291"/>
      <c r="BN3" s="291"/>
      <c r="BO3" s="291"/>
      <c r="BP3" s="291"/>
      <c r="BQ3" s="291"/>
      <c r="BR3" s="291"/>
      <c r="BS3" s="292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296" t="s">
        <v>81</v>
      </c>
      <c r="GK3" s="259" t="s">
        <v>82</v>
      </c>
      <c r="GL3" s="299" t="s">
        <v>79</v>
      </c>
      <c r="GM3" s="302" t="s">
        <v>194</v>
      </c>
    </row>
    <row r="4" spans="1:196" ht="18.75" x14ac:dyDescent="0.2">
      <c r="A4" s="263"/>
      <c r="B4" s="266"/>
      <c r="C4" s="273" t="s">
        <v>10</v>
      </c>
      <c r="D4" s="274"/>
      <c r="E4" s="273" t="s">
        <v>11</v>
      </c>
      <c r="F4" s="274"/>
      <c r="G4" s="276" t="s">
        <v>196</v>
      </c>
      <c r="H4" s="278" t="s">
        <v>12</v>
      </c>
      <c r="I4" s="278" t="s">
        <v>64</v>
      </c>
      <c r="J4" s="288" t="s">
        <v>67</v>
      </c>
      <c r="K4" s="294"/>
      <c r="L4" s="280" t="s">
        <v>77</v>
      </c>
      <c r="M4" s="256" t="s">
        <v>13</v>
      </c>
      <c r="N4" s="257"/>
      <c r="O4" s="257"/>
      <c r="P4" s="257"/>
      <c r="Q4" s="275"/>
      <c r="R4" s="256" t="s">
        <v>14</v>
      </c>
      <c r="S4" s="257"/>
      <c r="T4" s="257"/>
      <c r="U4" s="257"/>
      <c r="V4" s="257"/>
      <c r="W4" s="275"/>
      <c r="X4" s="256" t="s">
        <v>15</v>
      </c>
      <c r="Y4" s="257"/>
      <c r="Z4" s="257"/>
      <c r="AA4" s="257"/>
      <c r="AB4" s="257"/>
      <c r="AC4" s="275"/>
      <c r="AD4" s="256" t="s">
        <v>16</v>
      </c>
      <c r="AE4" s="257"/>
      <c r="AF4" s="257"/>
      <c r="AG4" s="257"/>
      <c r="AH4" s="257"/>
      <c r="AI4" s="275"/>
      <c r="AJ4" s="256" t="s">
        <v>17</v>
      </c>
      <c r="AK4" s="257"/>
      <c r="AL4" s="257"/>
      <c r="AM4" s="257"/>
      <c r="AN4" s="257"/>
      <c r="AO4" s="275"/>
      <c r="AP4" s="256" t="s">
        <v>18</v>
      </c>
      <c r="AQ4" s="257"/>
      <c r="AR4" s="257"/>
      <c r="AS4" s="257"/>
      <c r="AT4" s="257"/>
      <c r="AU4" s="275"/>
      <c r="AV4" s="256" t="s">
        <v>19</v>
      </c>
      <c r="AW4" s="257"/>
      <c r="AX4" s="257"/>
      <c r="AY4" s="257"/>
      <c r="AZ4" s="257"/>
      <c r="BA4" s="275"/>
      <c r="BB4" s="256" t="s">
        <v>20</v>
      </c>
      <c r="BC4" s="257"/>
      <c r="BD4" s="257"/>
      <c r="BE4" s="257"/>
      <c r="BF4" s="257"/>
      <c r="BG4" s="275"/>
      <c r="BH4" s="256" t="s">
        <v>21</v>
      </c>
      <c r="BI4" s="257"/>
      <c r="BJ4" s="257"/>
      <c r="BK4" s="257"/>
      <c r="BL4" s="257"/>
      <c r="BM4" s="275"/>
      <c r="BN4" s="256" t="s">
        <v>22</v>
      </c>
      <c r="BO4" s="257"/>
      <c r="BP4" s="257"/>
      <c r="BQ4" s="257"/>
      <c r="BR4" s="257"/>
      <c r="BS4" s="258"/>
      <c r="BT4" s="256" t="s">
        <v>85</v>
      </c>
      <c r="BU4" s="257"/>
      <c r="BV4" s="257"/>
      <c r="BW4" s="257"/>
      <c r="BX4" s="257"/>
      <c r="BY4" s="258"/>
      <c r="BZ4" s="256" t="s">
        <v>88</v>
      </c>
      <c r="CA4" s="257"/>
      <c r="CB4" s="257"/>
      <c r="CC4" s="257"/>
      <c r="CD4" s="257"/>
      <c r="CE4" s="258"/>
      <c r="CF4" s="256" t="s">
        <v>89</v>
      </c>
      <c r="CG4" s="257"/>
      <c r="CH4" s="257"/>
      <c r="CI4" s="257"/>
      <c r="CJ4" s="257"/>
      <c r="CK4" s="258"/>
      <c r="CL4" s="256" t="s">
        <v>94</v>
      </c>
      <c r="CM4" s="257"/>
      <c r="CN4" s="257"/>
      <c r="CO4" s="257"/>
      <c r="CP4" s="257"/>
      <c r="CQ4" s="258"/>
      <c r="CR4" s="256" t="s">
        <v>97</v>
      </c>
      <c r="CS4" s="257"/>
      <c r="CT4" s="257"/>
      <c r="CU4" s="257"/>
      <c r="CV4" s="257"/>
      <c r="CW4" s="258"/>
      <c r="CX4" s="256" t="s">
        <v>100</v>
      </c>
      <c r="CY4" s="257"/>
      <c r="CZ4" s="257"/>
      <c r="DA4" s="257"/>
      <c r="DB4" s="257"/>
      <c r="DC4" s="258"/>
      <c r="DD4" s="256" t="s">
        <v>103</v>
      </c>
      <c r="DE4" s="257"/>
      <c r="DF4" s="257"/>
      <c r="DG4" s="257"/>
      <c r="DH4" s="257"/>
      <c r="DI4" s="258"/>
      <c r="DJ4" s="256" t="s">
        <v>106</v>
      </c>
      <c r="DK4" s="257"/>
      <c r="DL4" s="257"/>
      <c r="DM4" s="257"/>
      <c r="DN4" s="257"/>
      <c r="DO4" s="258"/>
      <c r="DP4" s="256" t="s">
        <v>109</v>
      </c>
      <c r="DQ4" s="257"/>
      <c r="DR4" s="257"/>
      <c r="DS4" s="257"/>
      <c r="DT4" s="257"/>
      <c r="DU4" s="258"/>
      <c r="DV4" s="256" t="s">
        <v>112</v>
      </c>
      <c r="DW4" s="257"/>
      <c r="DX4" s="257"/>
      <c r="DY4" s="257"/>
      <c r="DZ4" s="257"/>
      <c r="EA4" s="258"/>
      <c r="EB4" s="256" t="s">
        <v>134</v>
      </c>
      <c r="EC4" s="257"/>
      <c r="ED4" s="257"/>
      <c r="EE4" s="257"/>
      <c r="EF4" s="257"/>
      <c r="EG4" s="258"/>
      <c r="EH4" s="256" t="s">
        <v>138</v>
      </c>
      <c r="EI4" s="257"/>
      <c r="EJ4" s="257"/>
      <c r="EK4" s="257"/>
      <c r="EL4" s="257"/>
      <c r="EM4" s="258"/>
      <c r="EN4" s="256" t="s">
        <v>142</v>
      </c>
      <c r="EO4" s="257"/>
      <c r="EP4" s="257"/>
      <c r="EQ4" s="257"/>
      <c r="ER4" s="257"/>
      <c r="ES4" s="258"/>
      <c r="ET4" s="256" t="s">
        <v>146</v>
      </c>
      <c r="EU4" s="257"/>
      <c r="EV4" s="257"/>
      <c r="EW4" s="257"/>
      <c r="EX4" s="257"/>
      <c r="EY4" s="258"/>
      <c r="EZ4" s="256" t="s">
        <v>150</v>
      </c>
      <c r="FA4" s="257"/>
      <c r="FB4" s="257"/>
      <c r="FC4" s="257"/>
      <c r="FD4" s="257"/>
      <c r="FE4" s="258"/>
      <c r="FF4" s="256" t="s">
        <v>154</v>
      </c>
      <c r="FG4" s="257"/>
      <c r="FH4" s="257"/>
      <c r="FI4" s="257"/>
      <c r="FJ4" s="257"/>
      <c r="FK4" s="258"/>
      <c r="FL4" s="256" t="s">
        <v>158</v>
      </c>
      <c r="FM4" s="257"/>
      <c r="FN4" s="257"/>
      <c r="FO4" s="257"/>
      <c r="FP4" s="257"/>
      <c r="FQ4" s="258"/>
      <c r="FR4" s="256" t="s">
        <v>162</v>
      </c>
      <c r="FS4" s="257"/>
      <c r="FT4" s="257"/>
      <c r="FU4" s="257"/>
      <c r="FV4" s="257"/>
      <c r="FW4" s="258"/>
      <c r="FX4" s="256" t="s">
        <v>166</v>
      </c>
      <c r="FY4" s="257"/>
      <c r="FZ4" s="257"/>
      <c r="GA4" s="257"/>
      <c r="GB4" s="257"/>
      <c r="GC4" s="258"/>
      <c r="GD4" s="256" t="s">
        <v>169</v>
      </c>
      <c r="GE4" s="257"/>
      <c r="GF4" s="257"/>
      <c r="GG4" s="257"/>
      <c r="GH4" s="257"/>
      <c r="GI4" s="258"/>
      <c r="GJ4" s="297"/>
      <c r="GK4" s="260"/>
      <c r="GL4" s="300"/>
      <c r="GM4" s="302"/>
    </row>
    <row r="5" spans="1:196" ht="409.6" thickBot="1" x14ac:dyDescent="0.25">
      <c r="A5" s="263"/>
      <c r="B5" s="267"/>
      <c r="C5" s="271" t="s">
        <v>70</v>
      </c>
      <c r="D5" s="272"/>
      <c r="E5" s="271" t="s">
        <v>74</v>
      </c>
      <c r="F5" s="272"/>
      <c r="G5" s="277"/>
      <c r="H5" s="279"/>
      <c r="I5" s="279"/>
      <c r="J5" s="289"/>
      <c r="K5" s="295"/>
      <c r="L5" s="281"/>
      <c r="M5" s="66" t="s">
        <v>57</v>
      </c>
      <c r="N5" s="193" t="s">
        <v>124</v>
      </c>
      <c r="O5" s="193" t="s">
        <v>65</v>
      </c>
      <c r="P5" s="193" t="s">
        <v>78</v>
      </c>
      <c r="Q5" s="68" t="s">
        <v>23</v>
      </c>
      <c r="R5" s="66" t="s">
        <v>24</v>
      </c>
      <c r="S5" s="193" t="s">
        <v>125</v>
      </c>
      <c r="T5" s="193" t="s">
        <v>57</v>
      </c>
      <c r="U5" s="193" t="s">
        <v>65</v>
      </c>
      <c r="V5" s="193" t="s">
        <v>78</v>
      </c>
      <c r="W5" s="68" t="s">
        <v>25</v>
      </c>
      <c r="X5" s="66" t="s">
        <v>26</v>
      </c>
      <c r="Y5" s="193" t="s">
        <v>126</v>
      </c>
      <c r="Z5" s="193" t="s">
        <v>57</v>
      </c>
      <c r="AA5" s="193" t="s">
        <v>65</v>
      </c>
      <c r="AB5" s="193" t="s">
        <v>78</v>
      </c>
      <c r="AC5" s="68" t="s">
        <v>27</v>
      </c>
      <c r="AD5" s="66" t="s">
        <v>28</v>
      </c>
      <c r="AE5" s="193" t="s">
        <v>127</v>
      </c>
      <c r="AF5" s="193" t="s">
        <v>57</v>
      </c>
      <c r="AG5" s="193" t="s">
        <v>65</v>
      </c>
      <c r="AH5" s="193" t="s">
        <v>78</v>
      </c>
      <c r="AI5" s="68" t="s">
        <v>29</v>
      </c>
      <c r="AJ5" s="66" t="s">
        <v>30</v>
      </c>
      <c r="AK5" s="193" t="s">
        <v>128</v>
      </c>
      <c r="AL5" s="193" t="s">
        <v>57</v>
      </c>
      <c r="AM5" s="193" t="s">
        <v>65</v>
      </c>
      <c r="AN5" s="193" t="s">
        <v>78</v>
      </c>
      <c r="AO5" s="68" t="s">
        <v>31</v>
      </c>
      <c r="AP5" s="66" t="s">
        <v>32</v>
      </c>
      <c r="AQ5" s="193" t="s">
        <v>129</v>
      </c>
      <c r="AR5" s="193" t="s">
        <v>57</v>
      </c>
      <c r="AS5" s="193" t="s">
        <v>65</v>
      </c>
      <c r="AT5" s="193" t="s">
        <v>78</v>
      </c>
      <c r="AU5" s="68" t="s">
        <v>33</v>
      </c>
      <c r="AV5" s="66" t="s">
        <v>34</v>
      </c>
      <c r="AW5" s="193" t="s">
        <v>130</v>
      </c>
      <c r="AX5" s="193" t="s">
        <v>57</v>
      </c>
      <c r="AY5" s="193" t="s">
        <v>65</v>
      </c>
      <c r="AZ5" s="193" t="s">
        <v>78</v>
      </c>
      <c r="BA5" s="68" t="s">
        <v>35</v>
      </c>
      <c r="BB5" s="66" t="s">
        <v>36</v>
      </c>
      <c r="BC5" s="193" t="s">
        <v>131</v>
      </c>
      <c r="BD5" s="193" t="s">
        <v>57</v>
      </c>
      <c r="BE5" s="193" t="s">
        <v>65</v>
      </c>
      <c r="BF5" s="193" t="s">
        <v>78</v>
      </c>
      <c r="BG5" s="68" t="s">
        <v>37</v>
      </c>
      <c r="BH5" s="66" t="s">
        <v>38</v>
      </c>
      <c r="BI5" s="193" t="s">
        <v>132</v>
      </c>
      <c r="BJ5" s="193" t="s">
        <v>57</v>
      </c>
      <c r="BK5" s="193" t="s">
        <v>65</v>
      </c>
      <c r="BL5" s="193" t="s">
        <v>78</v>
      </c>
      <c r="BM5" s="68" t="s">
        <v>39</v>
      </c>
      <c r="BN5" s="66" t="s">
        <v>40</v>
      </c>
      <c r="BO5" s="193" t="s">
        <v>133</v>
      </c>
      <c r="BP5" s="193" t="s">
        <v>57</v>
      </c>
      <c r="BQ5" s="193" t="s">
        <v>65</v>
      </c>
      <c r="BR5" s="193" t="s">
        <v>78</v>
      </c>
      <c r="BS5" s="192" t="s">
        <v>41</v>
      </c>
      <c r="BT5" s="66" t="s">
        <v>86</v>
      </c>
      <c r="BU5" s="193" t="s">
        <v>115</v>
      </c>
      <c r="BV5" s="193" t="s">
        <v>57</v>
      </c>
      <c r="BW5" s="193" t="s">
        <v>65</v>
      </c>
      <c r="BX5" s="193" t="s">
        <v>78</v>
      </c>
      <c r="BY5" s="192" t="s">
        <v>87</v>
      </c>
      <c r="BZ5" s="66" t="s">
        <v>90</v>
      </c>
      <c r="CA5" s="193" t="s">
        <v>116</v>
      </c>
      <c r="CB5" s="193" t="s">
        <v>57</v>
      </c>
      <c r="CC5" s="193" t="s">
        <v>65</v>
      </c>
      <c r="CD5" s="193" t="s">
        <v>78</v>
      </c>
      <c r="CE5" s="192" t="s">
        <v>91</v>
      </c>
      <c r="CF5" s="66" t="s">
        <v>92</v>
      </c>
      <c r="CG5" s="193" t="s">
        <v>117</v>
      </c>
      <c r="CH5" s="193" t="s">
        <v>57</v>
      </c>
      <c r="CI5" s="193" t="s">
        <v>65</v>
      </c>
      <c r="CJ5" s="193" t="s">
        <v>78</v>
      </c>
      <c r="CK5" s="192" t="s">
        <v>93</v>
      </c>
      <c r="CL5" s="66" t="s">
        <v>95</v>
      </c>
      <c r="CM5" s="193" t="s">
        <v>118</v>
      </c>
      <c r="CN5" s="193" t="s">
        <v>57</v>
      </c>
      <c r="CO5" s="193" t="s">
        <v>65</v>
      </c>
      <c r="CP5" s="193" t="s">
        <v>78</v>
      </c>
      <c r="CQ5" s="192" t="s">
        <v>96</v>
      </c>
      <c r="CR5" s="66" t="s">
        <v>98</v>
      </c>
      <c r="CS5" s="193" t="s">
        <v>119</v>
      </c>
      <c r="CT5" s="193" t="s">
        <v>57</v>
      </c>
      <c r="CU5" s="193" t="s">
        <v>65</v>
      </c>
      <c r="CV5" s="193" t="s">
        <v>78</v>
      </c>
      <c r="CW5" s="192" t="s">
        <v>99</v>
      </c>
      <c r="CX5" s="66" t="s">
        <v>101</v>
      </c>
      <c r="CY5" s="193" t="s">
        <v>120</v>
      </c>
      <c r="CZ5" s="193" t="s">
        <v>57</v>
      </c>
      <c r="DA5" s="193" t="s">
        <v>65</v>
      </c>
      <c r="DB5" s="193" t="s">
        <v>78</v>
      </c>
      <c r="DC5" s="192" t="s">
        <v>102</v>
      </c>
      <c r="DD5" s="66" t="s">
        <v>104</v>
      </c>
      <c r="DE5" s="193" t="s">
        <v>121</v>
      </c>
      <c r="DF5" s="193" t="s">
        <v>57</v>
      </c>
      <c r="DG5" s="193" t="s">
        <v>65</v>
      </c>
      <c r="DH5" s="193" t="s">
        <v>78</v>
      </c>
      <c r="DI5" s="192" t="s">
        <v>105</v>
      </c>
      <c r="DJ5" s="66" t="s">
        <v>107</v>
      </c>
      <c r="DK5" s="193" t="s">
        <v>66</v>
      </c>
      <c r="DL5" s="193" t="s">
        <v>57</v>
      </c>
      <c r="DM5" s="193" t="s">
        <v>65</v>
      </c>
      <c r="DN5" s="193" t="s">
        <v>78</v>
      </c>
      <c r="DO5" s="192" t="s">
        <v>108</v>
      </c>
      <c r="DP5" s="66" t="s">
        <v>110</v>
      </c>
      <c r="DQ5" s="193" t="s">
        <v>122</v>
      </c>
      <c r="DR5" s="193" t="s">
        <v>57</v>
      </c>
      <c r="DS5" s="193" t="s">
        <v>65</v>
      </c>
      <c r="DT5" s="193" t="s">
        <v>78</v>
      </c>
      <c r="DU5" s="192" t="s">
        <v>111</v>
      </c>
      <c r="DV5" s="66" t="s">
        <v>114</v>
      </c>
      <c r="DW5" s="193" t="s">
        <v>123</v>
      </c>
      <c r="DX5" s="193" t="s">
        <v>57</v>
      </c>
      <c r="DY5" s="193" t="s">
        <v>65</v>
      </c>
      <c r="DZ5" s="193" t="s">
        <v>78</v>
      </c>
      <c r="EA5" s="192" t="s">
        <v>113</v>
      </c>
      <c r="EB5" s="66" t="s">
        <v>135</v>
      </c>
      <c r="EC5" s="193" t="s">
        <v>136</v>
      </c>
      <c r="ED5" s="193" t="s">
        <v>57</v>
      </c>
      <c r="EE5" s="193" t="s">
        <v>65</v>
      </c>
      <c r="EF5" s="193" t="s">
        <v>78</v>
      </c>
      <c r="EG5" s="192" t="s">
        <v>137</v>
      </c>
      <c r="EH5" s="66" t="s">
        <v>139</v>
      </c>
      <c r="EI5" s="193" t="s">
        <v>140</v>
      </c>
      <c r="EJ5" s="193" t="s">
        <v>57</v>
      </c>
      <c r="EK5" s="193" t="s">
        <v>65</v>
      </c>
      <c r="EL5" s="193" t="s">
        <v>78</v>
      </c>
      <c r="EM5" s="192" t="s">
        <v>141</v>
      </c>
      <c r="EN5" s="66" t="s">
        <v>143</v>
      </c>
      <c r="EO5" s="193" t="s">
        <v>144</v>
      </c>
      <c r="EP5" s="193" t="s">
        <v>57</v>
      </c>
      <c r="EQ5" s="193" t="s">
        <v>65</v>
      </c>
      <c r="ER5" s="193" t="s">
        <v>78</v>
      </c>
      <c r="ES5" s="192" t="s">
        <v>145</v>
      </c>
      <c r="ET5" s="66" t="s">
        <v>147</v>
      </c>
      <c r="EU5" s="193" t="s">
        <v>148</v>
      </c>
      <c r="EV5" s="193" t="s">
        <v>57</v>
      </c>
      <c r="EW5" s="193" t="s">
        <v>65</v>
      </c>
      <c r="EX5" s="193" t="s">
        <v>78</v>
      </c>
      <c r="EY5" s="192" t="s">
        <v>149</v>
      </c>
      <c r="EZ5" s="66" t="s">
        <v>151</v>
      </c>
      <c r="FA5" s="193" t="s">
        <v>152</v>
      </c>
      <c r="FB5" s="193" t="s">
        <v>57</v>
      </c>
      <c r="FC5" s="193" t="s">
        <v>65</v>
      </c>
      <c r="FD5" s="193" t="s">
        <v>78</v>
      </c>
      <c r="FE5" s="192" t="s">
        <v>153</v>
      </c>
      <c r="FF5" s="66" t="s">
        <v>155</v>
      </c>
      <c r="FG5" s="193" t="s">
        <v>156</v>
      </c>
      <c r="FH5" s="193" t="s">
        <v>57</v>
      </c>
      <c r="FI5" s="193" t="s">
        <v>65</v>
      </c>
      <c r="FJ5" s="193" t="s">
        <v>78</v>
      </c>
      <c r="FK5" s="192" t="s">
        <v>157</v>
      </c>
      <c r="FL5" s="66" t="s">
        <v>159</v>
      </c>
      <c r="FM5" s="193" t="s">
        <v>160</v>
      </c>
      <c r="FN5" s="193" t="s">
        <v>57</v>
      </c>
      <c r="FO5" s="193" t="s">
        <v>65</v>
      </c>
      <c r="FP5" s="193" t="s">
        <v>78</v>
      </c>
      <c r="FQ5" s="192" t="s">
        <v>161</v>
      </c>
      <c r="FR5" s="66" t="s">
        <v>163</v>
      </c>
      <c r="FS5" s="193" t="s">
        <v>164</v>
      </c>
      <c r="FT5" s="193" t="s">
        <v>57</v>
      </c>
      <c r="FU5" s="193" t="s">
        <v>65</v>
      </c>
      <c r="FV5" s="193" t="s">
        <v>78</v>
      </c>
      <c r="FW5" s="192" t="s">
        <v>165</v>
      </c>
      <c r="FX5" s="66" t="s">
        <v>167</v>
      </c>
      <c r="FY5" s="193" t="s">
        <v>171</v>
      </c>
      <c r="FZ5" s="193" t="s">
        <v>57</v>
      </c>
      <c r="GA5" s="193" t="s">
        <v>65</v>
      </c>
      <c r="GB5" s="193" t="s">
        <v>78</v>
      </c>
      <c r="GC5" s="192" t="s">
        <v>168</v>
      </c>
      <c r="GD5" s="66" t="s">
        <v>170</v>
      </c>
      <c r="GE5" s="193" t="s">
        <v>172</v>
      </c>
      <c r="GF5" s="193" t="s">
        <v>57</v>
      </c>
      <c r="GG5" s="193" t="s">
        <v>65</v>
      </c>
      <c r="GH5" s="193" t="s">
        <v>78</v>
      </c>
      <c r="GI5" s="192" t="s">
        <v>173</v>
      </c>
      <c r="GJ5" s="298"/>
      <c r="GK5" s="261"/>
      <c r="GL5" s="301"/>
      <c r="GM5" s="302"/>
    </row>
    <row r="6" spans="1:196" ht="19.5" thickBot="1" x14ac:dyDescent="0.25">
      <c r="A6" s="264"/>
      <c r="B6" s="104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72</v>
      </c>
      <c r="J6" s="111" t="s">
        <v>69</v>
      </c>
      <c r="K6" s="116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1" t="s">
        <v>52</v>
      </c>
      <c r="BT6" s="71" t="s">
        <v>46</v>
      </c>
      <c r="BU6" s="64" t="s">
        <v>55</v>
      </c>
      <c r="BV6" s="64" t="s">
        <v>47</v>
      </c>
      <c r="BW6" s="64" t="s">
        <v>84</v>
      </c>
      <c r="BX6" s="64" t="s">
        <v>53</v>
      </c>
      <c r="BY6" s="111" t="s">
        <v>52</v>
      </c>
      <c r="BZ6" s="71" t="s">
        <v>46</v>
      </c>
      <c r="CA6" s="64" t="s">
        <v>55</v>
      </c>
      <c r="CB6" s="64" t="s">
        <v>47</v>
      </c>
      <c r="CC6" s="64" t="s">
        <v>84</v>
      </c>
      <c r="CD6" s="64" t="s">
        <v>53</v>
      </c>
      <c r="CE6" s="111" t="s">
        <v>52</v>
      </c>
      <c r="CF6" s="71" t="s">
        <v>46</v>
      </c>
      <c r="CG6" s="64" t="s">
        <v>55</v>
      </c>
      <c r="CH6" s="64" t="s">
        <v>47</v>
      </c>
      <c r="CI6" s="64" t="s">
        <v>84</v>
      </c>
      <c r="CJ6" s="64" t="s">
        <v>53</v>
      </c>
      <c r="CK6" s="111" t="s">
        <v>52</v>
      </c>
      <c r="CL6" s="71" t="s">
        <v>46</v>
      </c>
      <c r="CM6" s="64" t="s">
        <v>55</v>
      </c>
      <c r="CN6" s="64" t="s">
        <v>47</v>
      </c>
      <c r="CO6" s="64" t="s">
        <v>84</v>
      </c>
      <c r="CP6" s="64" t="s">
        <v>53</v>
      </c>
      <c r="CQ6" s="111" t="s">
        <v>52</v>
      </c>
      <c r="CR6" s="71" t="s">
        <v>46</v>
      </c>
      <c r="CS6" s="64" t="s">
        <v>55</v>
      </c>
      <c r="CT6" s="64" t="s">
        <v>47</v>
      </c>
      <c r="CU6" s="64" t="s">
        <v>84</v>
      </c>
      <c r="CV6" s="64" t="s">
        <v>53</v>
      </c>
      <c r="CW6" s="111" t="s">
        <v>52</v>
      </c>
      <c r="CX6" s="71" t="s">
        <v>46</v>
      </c>
      <c r="CY6" s="64" t="s">
        <v>55</v>
      </c>
      <c r="CZ6" s="64" t="s">
        <v>47</v>
      </c>
      <c r="DA6" s="64" t="s">
        <v>84</v>
      </c>
      <c r="DB6" s="64" t="s">
        <v>53</v>
      </c>
      <c r="DC6" s="111" t="s">
        <v>52</v>
      </c>
      <c r="DD6" s="71" t="s">
        <v>46</v>
      </c>
      <c r="DE6" s="64" t="s">
        <v>55</v>
      </c>
      <c r="DF6" s="64" t="s">
        <v>47</v>
      </c>
      <c r="DG6" s="64" t="s">
        <v>84</v>
      </c>
      <c r="DH6" s="64" t="s">
        <v>53</v>
      </c>
      <c r="DI6" s="111" t="s">
        <v>52</v>
      </c>
      <c r="DJ6" s="71" t="s">
        <v>46</v>
      </c>
      <c r="DK6" s="64" t="s">
        <v>55</v>
      </c>
      <c r="DL6" s="64" t="s">
        <v>47</v>
      </c>
      <c r="DM6" s="64" t="s">
        <v>84</v>
      </c>
      <c r="DN6" s="64" t="s">
        <v>53</v>
      </c>
      <c r="DO6" s="111" t="s">
        <v>52</v>
      </c>
      <c r="DP6" s="71" t="s">
        <v>46</v>
      </c>
      <c r="DQ6" s="64" t="s">
        <v>55</v>
      </c>
      <c r="DR6" s="64" t="s">
        <v>47</v>
      </c>
      <c r="DS6" s="64" t="s">
        <v>84</v>
      </c>
      <c r="DT6" s="64" t="s">
        <v>53</v>
      </c>
      <c r="DU6" s="111" t="s">
        <v>52</v>
      </c>
      <c r="DV6" s="71" t="s">
        <v>46</v>
      </c>
      <c r="DW6" s="64" t="s">
        <v>55</v>
      </c>
      <c r="DX6" s="64" t="s">
        <v>47</v>
      </c>
      <c r="DY6" s="64" t="s">
        <v>84</v>
      </c>
      <c r="DZ6" s="64" t="s">
        <v>53</v>
      </c>
      <c r="EA6" s="111" t="s">
        <v>52</v>
      </c>
      <c r="EB6" s="71" t="s">
        <v>46</v>
      </c>
      <c r="EC6" s="64" t="s">
        <v>55</v>
      </c>
      <c r="ED6" s="64" t="s">
        <v>47</v>
      </c>
      <c r="EE6" s="64" t="s">
        <v>84</v>
      </c>
      <c r="EF6" s="64" t="s">
        <v>53</v>
      </c>
      <c r="EG6" s="111" t="s">
        <v>52</v>
      </c>
      <c r="EH6" s="71" t="s">
        <v>46</v>
      </c>
      <c r="EI6" s="64" t="s">
        <v>55</v>
      </c>
      <c r="EJ6" s="64" t="s">
        <v>47</v>
      </c>
      <c r="EK6" s="64" t="s">
        <v>84</v>
      </c>
      <c r="EL6" s="64" t="s">
        <v>53</v>
      </c>
      <c r="EM6" s="111" t="s">
        <v>52</v>
      </c>
      <c r="EN6" s="71" t="s">
        <v>46</v>
      </c>
      <c r="EO6" s="64" t="s">
        <v>55</v>
      </c>
      <c r="EP6" s="64" t="s">
        <v>47</v>
      </c>
      <c r="EQ6" s="64" t="s">
        <v>84</v>
      </c>
      <c r="ER6" s="64" t="s">
        <v>53</v>
      </c>
      <c r="ES6" s="111" t="s">
        <v>52</v>
      </c>
      <c r="ET6" s="71" t="s">
        <v>46</v>
      </c>
      <c r="EU6" s="64" t="s">
        <v>55</v>
      </c>
      <c r="EV6" s="64" t="s">
        <v>47</v>
      </c>
      <c r="EW6" s="64" t="s">
        <v>84</v>
      </c>
      <c r="EX6" s="64" t="s">
        <v>53</v>
      </c>
      <c r="EY6" s="111" t="s">
        <v>52</v>
      </c>
      <c r="EZ6" s="71" t="s">
        <v>46</v>
      </c>
      <c r="FA6" s="64" t="s">
        <v>55</v>
      </c>
      <c r="FB6" s="64" t="s">
        <v>47</v>
      </c>
      <c r="FC6" s="64" t="s">
        <v>84</v>
      </c>
      <c r="FD6" s="64" t="s">
        <v>53</v>
      </c>
      <c r="FE6" s="111" t="s">
        <v>52</v>
      </c>
      <c r="FF6" s="71" t="s">
        <v>46</v>
      </c>
      <c r="FG6" s="64" t="s">
        <v>55</v>
      </c>
      <c r="FH6" s="64" t="s">
        <v>47</v>
      </c>
      <c r="FI6" s="64" t="s">
        <v>84</v>
      </c>
      <c r="FJ6" s="64" t="s">
        <v>53</v>
      </c>
      <c r="FK6" s="111" t="s">
        <v>52</v>
      </c>
      <c r="FL6" s="71" t="s">
        <v>46</v>
      </c>
      <c r="FM6" s="64" t="s">
        <v>55</v>
      </c>
      <c r="FN6" s="64" t="s">
        <v>47</v>
      </c>
      <c r="FO6" s="64" t="s">
        <v>84</v>
      </c>
      <c r="FP6" s="64" t="s">
        <v>53</v>
      </c>
      <c r="FQ6" s="111" t="s">
        <v>52</v>
      </c>
      <c r="FR6" s="71" t="s">
        <v>46</v>
      </c>
      <c r="FS6" s="64" t="s">
        <v>55</v>
      </c>
      <c r="FT6" s="64" t="s">
        <v>47</v>
      </c>
      <c r="FU6" s="64" t="s">
        <v>84</v>
      </c>
      <c r="FV6" s="64" t="s">
        <v>53</v>
      </c>
      <c r="FW6" s="111" t="s">
        <v>52</v>
      </c>
      <c r="FX6" s="71" t="s">
        <v>46</v>
      </c>
      <c r="FY6" s="64" t="s">
        <v>55</v>
      </c>
      <c r="FZ6" s="64" t="s">
        <v>47</v>
      </c>
      <c r="GA6" s="64" t="s">
        <v>84</v>
      </c>
      <c r="GB6" s="64" t="s">
        <v>53</v>
      </c>
      <c r="GC6" s="111" t="s">
        <v>52</v>
      </c>
      <c r="GD6" s="71" t="s">
        <v>46</v>
      </c>
      <c r="GE6" s="64" t="s">
        <v>55</v>
      </c>
      <c r="GF6" s="64" t="s">
        <v>47</v>
      </c>
      <c r="GG6" s="64" t="s">
        <v>84</v>
      </c>
      <c r="GH6" s="64" t="s">
        <v>53</v>
      </c>
      <c r="GI6" s="111" t="s">
        <v>52</v>
      </c>
      <c r="GJ6" s="179" t="s">
        <v>52</v>
      </c>
      <c r="GK6" s="177" t="s">
        <v>60</v>
      </c>
      <c r="GL6" s="213" t="s">
        <v>75</v>
      </c>
      <c r="GM6" s="223" t="s">
        <v>192</v>
      </c>
    </row>
    <row r="7" spans="1:196" ht="15.75" thickBot="1" x14ac:dyDescent="0.25">
      <c r="A7" s="101">
        <v>1</v>
      </c>
      <c r="B7" s="105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0">
        <f>F7+1</f>
        <v>7</v>
      </c>
      <c r="H7" s="61">
        <f t="shared" si="0"/>
        <v>8</v>
      </c>
      <c r="I7" s="61">
        <f t="shared" si="0"/>
        <v>9</v>
      </c>
      <c r="J7" s="112">
        <f>I7+1</f>
        <v>10</v>
      </c>
      <c r="K7" s="117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2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2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2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2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2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2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2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2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2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2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2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2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2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2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2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2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2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2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2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2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2">
        <f t="shared" si="21"/>
        <v>191</v>
      </c>
      <c r="GJ7" s="62">
        <f>GI7+1</f>
        <v>192</v>
      </c>
      <c r="GK7" s="178">
        <f>GJ7+1</f>
        <v>193</v>
      </c>
      <c r="GL7" s="214">
        <f>GK7+1</f>
        <v>194</v>
      </c>
      <c r="GM7" s="223">
        <v>195</v>
      </c>
    </row>
    <row r="8" spans="1:196" ht="15.75" thickBot="1" x14ac:dyDescent="0.25">
      <c r="A8" s="102" t="s">
        <v>3</v>
      </c>
      <c r="B8" s="106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3" t="s">
        <v>68</v>
      </c>
      <c r="K8" s="118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3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3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3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3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3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3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3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3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3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3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84" t="s">
        <v>4</v>
      </c>
      <c r="EA8" s="113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84" t="s">
        <v>4</v>
      </c>
      <c r="EG8" s="113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84" t="s">
        <v>4</v>
      </c>
      <c r="EM8" s="113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84" t="s">
        <v>4</v>
      </c>
      <c r="EY8" s="113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84" t="s">
        <v>4</v>
      </c>
      <c r="FE8" s="113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84" t="s">
        <v>4</v>
      </c>
      <c r="FK8" s="113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84" t="s">
        <v>4</v>
      </c>
      <c r="FQ8" s="113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84" t="s">
        <v>4</v>
      </c>
      <c r="FW8" s="113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84" t="s">
        <v>4</v>
      </c>
      <c r="GC8" s="113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84" t="s">
        <v>4</v>
      </c>
      <c r="GI8" s="113" t="s">
        <v>4</v>
      </c>
      <c r="GJ8" s="181" t="s">
        <v>4</v>
      </c>
      <c r="GK8" s="180" t="s">
        <v>4</v>
      </c>
      <c r="GL8" s="215" t="s">
        <v>50</v>
      </c>
      <c r="GM8" s="223" t="s">
        <v>4</v>
      </c>
    </row>
    <row r="9" spans="1:196" ht="15.75" x14ac:dyDescent="0.25">
      <c r="A9" s="160" t="s">
        <v>174</v>
      </c>
      <c r="B9" s="163" t="s">
        <v>8</v>
      </c>
      <c r="C9" s="163" t="s">
        <v>8</v>
      </c>
      <c r="D9" s="163" t="s">
        <v>8</v>
      </c>
      <c r="E9" s="163" t="s">
        <v>8</v>
      </c>
      <c r="F9" s="163" t="s">
        <v>8</v>
      </c>
      <c r="G9" s="107">
        <f>'Исходные данные'!C11</f>
        <v>72</v>
      </c>
      <c r="H9" s="49">
        <f>'Исходные данные'!E11</f>
        <v>25111.57492210174</v>
      </c>
      <c r="I9" s="50">
        <f>'Расчет КРП'!G7</f>
        <v>22.720360727086533</v>
      </c>
      <c r="J9" s="114" t="s">
        <v>8</v>
      </c>
      <c r="K9" s="166">
        <f t="shared" ref="K9:K22" si="22">((H9/G9)/($H$23/$G$23))/I9</f>
        <v>1.1802925763790472E-2</v>
      </c>
      <c r="L9" s="167">
        <f t="shared" ref="L9:L22" si="23">$D$23*G9/$G$23</f>
        <v>13198.060010035122</v>
      </c>
      <c r="M9" s="171">
        <f t="shared" ref="M9:M22" si="24">(((H9+L9)/G9)/$J$23)/I9</f>
        <v>1.800626916251102E-2</v>
      </c>
      <c r="N9" s="172" t="s">
        <v>8</v>
      </c>
      <c r="O9" s="173">
        <f t="shared" ref="O9:O22" si="25">$N$23-M9</f>
        <v>0.13631973322666993</v>
      </c>
      <c r="P9" s="185">
        <f t="shared" ref="P9:P22" si="26">IF(O9&gt;0,G9*I9*(($H$23+$L$23)/$G$23)*O9,0)</f>
        <v>330907.52757247537</v>
      </c>
      <c r="Q9" s="174">
        <f t="shared" ref="Q9:Q22" si="27">IF(($F$23-P$23)&gt;0,P9,$F$23*P9/P$23)</f>
        <v>330907.52757247537</v>
      </c>
      <c r="R9" s="168" t="s">
        <v>8</v>
      </c>
      <c r="S9" s="48" t="s">
        <v>8</v>
      </c>
      <c r="T9" s="52">
        <f t="shared" ref="T9:T22" si="28">(((H9+L9+Q9)/G9)/$J$23)/I9</f>
        <v>0.17353920545715287</v>
      </c>
      <c r="U9" s="51">
        <f t="shared" ref="U9:U22" si="29">S$23-T9</f>
        <v>8.2706554934624782E-2</v>
      </c>
      <c r="V9" s="53">
        <f t="shared" ref="V9:V22" si="30">IF(U9&gt;0,$G9*$I9*(($H$23+$L$23+$Q$23)/$G$23)*U9,0)</f>
        <v>257451.39438850517</v>
      </c>
      <c r="W9" s="79">
        <f t="shared" ref="W9:W22" si="31">IF((R$23-V$23)&gt;0,V9,R$23*V9/V$23)</f>
        <v>257451.39438850517</v>
      </c>
      <c r="X9" s="75" t="s">
        <v>8</v>
      </c>
      <c r="Y9" s="48" t="s">
        <v>8</v>
      </c>
      <c r="Z9" s="52">
        <f t="shared" ref="Z9:Z22" si="32">(((H9+L9+Q9+W9)/G9)/$J$23)/I9</f>
        <v>0.29454633882804315</v>
      </c>
      <c r="AA9" s="51">
        <f t="shared" ref="AA9:AA22" si="33">Y$23-Z9</f>
        <v>7.251410011729581E-2</v>
      </c>
      <c r="AB9" s="53">
        <f t="shared" ref="AB9:AB22" si="34">IF(AA9&gt;0,$G9*$I9*(($H$23+$L$23+$Q$23+$W$23)/$G$23)*AA9,0)</f>
        <v>282386.65746045072</v>
      </c>
      <c r="AC9" s="79">
        <f t="shared" ref="AC9:AC22" si="35">IF((X$23-AB$23)&gt;0,AB9,X$23*AB9/AB$23)</f>
        <v>282386.65746045072</v>
      </c>
      <c r="AD9" s="75" t="s">
        <v>8</v>
      </c>
      <c r="AE9" s="48" t="s">
        <v>8</v>
      </c>
      <c r="AF9" s="52">
        <f t="shared" ref="AF9:AF22" si="36">(((H9+L9+Q9+W9+AC9)/G9)/$J$23)/I9</f>
        <v>0.4272735279840339</v>
      </c>
      <c r="AG9" s="51">
        <f t="shared" ref="AG9:AG22" si="37">AE$23-AF9</f>
        <v>5.1374815612799218E-2</v>
      </c>
      <c r="AH9" s="53">
        <f t="shared" ref="AH9:AH22" si="38">IF(AG9&gt;0,$G9*$I9*(($H$23+$L$23+$Q$23+$W$23+$AC$23)/$G$23)*AG9,0)</f>
        <v>240069.46148202728</v>
      </c>
      <c r="AI9" s="79">
        <f t="shared" ref="AI9:AI22" si="39">IF((AD$23-AH$23)&gt;0,AH9,AD$23*AH9/AH$23)</f>
        <v>152841.98242424778</v>
      </c>
      <c r="AJ9" s="75" t="s">
        <v>8</v>
      </c>
      <c r="AK9" s="48" t="s">
        <v>8</v>
      </c>
      <c r="AL9" s="52">
        <f t="shared" ref="AL9:AL22" si="40">(((H9+L9+Q9+W9+AC9+AI9)/G9)/$J$23)/I9</f>
        <v>0.49911221503333569</v>
      </c>
      <c r="AM9" s="51">
        <f t="shared" ref="AM9:AM22" si="41">AK$23-AL9</f>
        <v>4.3980014642081677E-2</v>
      </c>
      <c r="AN9" s="53">
        <f t="shared" ref="AN9:AN22" si="42">IF(AM9&gt;0,$G9*$I9*(($H$23+$L$23+$Q$23+$W$23+$AC$23+$AI$23)/$G$23)*AM9,0)</f>
        <v>225451.18183058899</v>
      </c>
      <c r="AO9" s="79">
        <f t="shared" ref="AO9:AO22" si="43">IF((AJ$23-AN$23)&gt;0,AN9,AJ$23*AN9/AN$23)</f>
        <v>0</v>
      </c>
      <c r="AP9" s="75" t="s">
        <v>8</v>
      </c>
      <c r="AQ9" s="48" t="s">
        <v>8</v>
      </c>
      <c r="AR9" s="52">
        <f t="shared" ref="AR9:AR22" si="44">(((H9+L9+Q9+W9+AC9+AI9+AO9)/G9)/$J$23)/I9</f>
        <v>0.49911221503333569</v>
      </c>
      <c r="AS9" s="51">
        <f t="shared" ref="AS9:AS22" si="45">AQ$23-AR9</f>
        <v>4.3980014642081677E-2</v>
      </c>
      <c r="AT9" s="53">
        <f t="shared" ref="AT9:AT22" si="46">IF(AS9&gt;0,$G9*$I9*(($H$23+$L$23+$Q$23+$W$23+$AC$23+$AI$23+$AO$23)/$G$23)*AS9,0)</f>
        <v>225451.18183058899</v>
      </c>
      <c r="AU9" s="79">
        <f t="shared" ref="AU9:AU22" si="47">IF((AP$23-AT$23)&gt;0,AT9,AP$23*AT9/AT$23)</f>
        <v>0</v>
      </c>
      <c r="AV9" s="75" t="s">
        <v>8</v>
      </c>
      <c r="AW9" s="48" t="s">
        <v>8</v>
      </c>
      <c r="AX9" s="52">
        <f t="shared" ref="AX9:AX22" si="48">(((H9+L9+Q9+W9+AC9+AI9+AO9+AU9)/G9)/$J$23)/I9</f>
        <v>0.49911221503333569</v>
      </c>
      <c r="AY9" s="51">
        <f t="shared" ref="AY9:AY22" si="49">AW$23-AX9</f>
        <v>4.3980014642081677E-2</v>
      </c>
      <c r="AZ9" s="53">
        <f t="shared" ref="AZ9:AZ22" si="50">IF(AY9&gt;0,$G9*$I9*(($H$23+$L$23+$Q$23+$W$23+$AC$23+$AI$23+$AO$23+$AU$23)/$G$23)*AY9,0)</f>
        <v>225451.18183058899</v>
      </c>
      <c r="BA9" s="79">
        <f t="shared" ref="BA9:BA22" si="51">IF((AV$23-AZ$23)&gt;0,AZ9,AV$23*AZ9/AZ$23)</f>
        <v>0</v>
      </c>
      <c r="BB9" s="75" t="s">
        <v>8</v>
      </c>
      <c r="BC9" s="48" t="s">
        <v>8</v>
      </c>
      <c r="BD9" s="52">
        <f t="shared" ref="BD9:BD22" si="52">(((H9+L9+Q9+W9+AC9+AI9+AO9+AU9+BA9)/G9)/$J$23)/I9</f>
        <v>0.49911221503333569</v>
      </c>
      <c r="BE9" s="51">
        <f t="shared" ref="BE9:BE22" si="53">BC$23-BD9</f>
        <v>4.3980014642081677E-2</v>
      </c>
      <c r="BF9" s="53">
        <f t="shared" ref="BF9:BF22" si="54">IF(BE9&gt;0,$G9*$I9*(($H$23+$L$23+$Q$23+$W$23+$AC$23+$AI$23+$AO$23+$AU$23+$BA$23)/$G$23)*BE9,0)</f>
        <v>225451.18183058899</v>
      </c>
      <c r="BG9" s="79">
        <f t="shared" ref="BG9:BG22" si="55">IF((BB$23-BF$23)&gt;0,BF9,BB$23*BF9/BF$23)</f>
        <v>0</v>
      </c>
      <c r="BH9" s="75" t="s">
        <v>8</v>
      </c>
      <c r="BI9" s="48" t="s">
        <v>8</v>
      </c>
      <c r="BJ9" s="52">
        <f t="shared" ref="BJ9:BJ22" si="56">(((H9+L9+Q9+W9+AC9+AI9+AO9+AU9+BA9+BG9)/G9)/$J$23)/I9</f>
        <v>0.49911221503333569</v>
      </c>
      <c r="BK9" s="51">
        <f t="shared" ref="BK9:BK22" si="57">BI$23-BJ9</f>
        <v>4.3980014642081677E-2</v>
      </c>
      <c r="BL9" s="53">
        <f t="shared" ref="BL9:BL22" si="58">IF(BK9&gt;0,$G9*$I9*(($H$23+$L$23+$Q$23+$W$23+$AC$23+$AI$23+$AO$23+$AU$23+$BA$23+$BG$23)/$G$23)*BK9,0)</f>
        <v>225451.18183058899</v>
      </c>
      <c r="BM9" s="79">
        <f t="shared" ref="BM9:BM22" si="59">IF((BH$23-BL$23)&gt;0,BL9,BH$23*BL9/BL$23)</f>
        <v>0</v>
      </c>
      <c r="BN9" s="75" t="s">
        <v>8</v>
      </c>
      <c r="BO9" s="48" t="s">
        <v>8</v>
      </c>
      <c r="BP9" s="52">
        <f t="shared" ref="BP9:BP22" si="60">(((H9+L9+Q9+W9+AC9+AI9+AO9+AU9+BA9+BG9+BM9)/G9)/$J$23)/I9</f>
        <v>0.49911221503333569</v>
      </c>
      <c r="BQ9" s="51">
        <f t="shared" ref="BQ9:BQ22" si="61">BO$23-BP9</f>
        <v>4.3980014642081677E-2</v>
      </c>
      <c r="BR9" s="53">
        <f t="shared" ref="BR9:BR22" si="62">IF(BQ9&gt;0,$G9*$I9*(($H$23+$L$23+$Q$23+$W$23+$AC$23+$AI$23+$AO$23+$AU$23+$BA$23+$BG$23+$BM$23)/$G$23)*BQ9,0)</f>
        <v>225451.18183058899</v>
      </c>
      <c r="BS9" s="127">
        <f t="shared" ref="BS9:BS22" si="63">IF((BN$23-BR$23)&gt;0,BR9,BN$23*BR9/BR$23)</f>
        <v>0</v>
      </c>
      <c r="BT9" s="75" t="s">
        <v>8</v>
      </c>
      <c r="BU9" s="48" t="s">
        <v>8</v>
      </c>
      <c r="BV9" s="52">
        <f t="shared" ref="BV9:BV22" si="64">(((H9+L9+Q9+W9+AC9+AI9+AO9+AU9+BA9+BG9+BM9+BS9)/G9)/$J$23)/I9</f>
        <v>0.49911221503333569</v>
      </c>
      <c r="BW9" s="51">
        <f t="shared" ref="BW9:BW22" si="65">BU$23-BV9</f>
        <v>4.3980014642081677E-2</v>
      </c>
      <c r="BX9" s="53">
        <f t="shared" ref="BX9:BX22" si="66">IF(BW9&gt;0,$G9*$I9*(($H$23+$L$23+$Q$23+$W$23+$AC$23+$AI$23+$AO$23+$AU$23+$BA$23+$BG$23+$BM$23+$BS$23)/$G$23)*BW9,0)</f>
        <v>225451.18183058899</v>
      </c>
      <c r="BY9" s="127">
        <f t="shared" ref="BY9:BY22" si="67">IF((BT$23-BX$23)&gt;0,BX9,BT$23*BX9/BX$23)</f>
        <v>0</v>
      </c>
      <c r="BZ9" s="75" t="s">
        <v>8</v>
      </c>
      <c r="CA9" s="48" t="s">
        <v>8</v>
      </c>
      <c r="CB9" s="52">
        <f t="shared" ref="CB9:CB22" si="68">(((H9+L9+Q9+W9+AC9+AI9+AO9+AU9+BA9+BG9+BM9+BS9+BY9)/G9)/$J$23)/I9</f>
        <v>0.49911221503333569</v>
      </c>
      <c r="CC9" s="51">
        <f t="shared" ref="CC9:CC22" si="69">CA$23-CB9</f>
        <v>4.3980014642081677E-2</v>
      </c>
      <c r="CD9" s="53">
        <f t="shared" ref="CD9:CD22" si="70">IF(CC9&gt;0,$G9*$I9*(($H$23+$L$23+$Q$23+$W$23+$AC$23+$AI$23+$AO$23+$AU$23+$BA$23+$BG$23+$BM$23+$BS$23+$BY$23)/$G$23)*CC9,0)</f>
        <v>225451.18183058899</v>
      </c>
      <c r="CE9" s="127">
        <f t="shared" ref="CE9:CE22" si="71">IF((BZ$23-CD$23)&gt;0,CD9,BZ$23*CD9/CD$23)</f>
        <v>0</v>
      </c>
      <c r="CF9" s="75" t="s">
        <v>8</v>
      </c>
      <c r="CG9" s="48" t="s">
        <v>8</v>
      </c>
      <c r="CH9" s="52">
        <f t="shared" ref="CH9:CH22" si="72">(((H9+L9+Q9+W9+AC9+AI9+AO9+AU9+BA9+BG9+BM9+BS9+BY9+CE9)/G9)/$J$23)/I9</f>
        <v>0.49911221503333569</v>
      </c>
      <c r="CI9" s="51">
        <f t="shared" ref="CI9:CI22" si="73">CG$23-CH9</f>
        <v>4.3980014642081677E-2</v>
      </c>
      <c r="CJ9" s="53">
        <f t="shared" ref="CJ9:CJ22" si="74">IF(CI9&gt;0,$G9*$I9*(($H$23+$L$23+$Q$23+$W$23+$AC$23+$AI$23+$AO$23+$AU$23+$BA$23+$BG$23+$BM$23+$BS$23+$BY$23+$CE$23)/$G$23)*CI9,0)</f>
        <v>225451.18183058899</v>
      </c>
      <c r="CK9" s="127">
        <f t="shared" ref="CK9:CK22" si="75">IF((CF$23-CJ$23)&gt;0,CJ9,CF$23*CJ9/CJ$23)</f>
        <v>0</v>
      </c>
      <c r="CL9" s="75" t="s">
        <v>8</v>
      </c>
      <c r="CM9" s="48" t="s">
        <v>8</v>
      </c>
      <c r="CN9" s="52">
        <f t="shared" ref="CN9:CN22" si="76">(((H9+L9+Q9+W9+AC9+AI9+AO9+AU9+BA9+BG9+BM9+BS9+BY9+CE9+CK9)/G9)/$J$23)/I9</f>
        <v>0.49911221503333569</v>
      </c>
      <c r="CO9" s="51">
        <f t="shared" ref="CO9:CO22" si="77">CM$23-CN9</f>
        <v>4.3980014642081677E-2</v>
      </c>
      <c r="CP9" s="53">
        <f t="shared" ref="CP9:CP22" si="78">IF(CO9&gt;0,$G9*$I9*(($H$23+$L$23+$Q$23+$W$23+$AC$23+$AI$23+$AO$23+$AU$23+$BA$23+$BG$23+$BM$23+$BS$23+$BY$23+$CE$23+$CK$23)/$G$23)*CO9,0)</f>
        <v>225451.18183058899</v>
      </c>
      <c r="CQ9" s="127">
        <f t="shared" ref="CQ9:CQ22" si="79">IF((CL$23-CP$23)&gt;0,CP9,CL$23*CP9/CP$23)</f>
        <v>0</v>
      </c>
      <c r="CR9" s="75" t="s">
        <v>8</v>
      </c>
      <c r="CS9" s="48" t="s">
        <v>8</v>
      </c>
      <c r="CT9" s="52">
        <f t="shared" ref="CT9:CT22" si="80">(((H9+L9+Q9+W9+AC9+AI9+AO9+AU9+BA9+BG9+BM9+BS9+BY9+CE9+CK9+CQ9)/G9)/$J$23)/I9</f>
        <v>0.49911221503333569</v>
      </c>
      <c r="CU9" s="51">
        <f t="shared" ref="CU9:CU22" si="81">CS$23-CT9</f>
        <v>4.3980014642081677E-2</v>
      </c>
      <c r="CV9" s="53">
        <f t="shared" ref="CV9:CV22" si="82">IF(CU9&gt;0,$G9*$I9*(($H$23+$L$23+$Q$23+$W$23+$AC$23+$AI$23+$AO$23+$AU$23+$BA$23+$BG$23+$BM$23+$BS$23+$BY$23+$CE$23+$CK$23+$CQ$23)/$G$23)*CU9,0)</f>
        <v>225451.18183058899</v>
      </c>
      <c r="CW9" s="127">
        <f t="shared" ref="CW9:CW22" si="83">IF((CR$23-CV$23)&gt;0,CV9,CR$23*CV9/CV$23)</f>
        <v>0</v>
      </c>
      <c r="CX9" s="75" t="s">
        <v>8</v>
      </c>
      <c r="CY9" s="48" t="s">
        <v>8</v>
      </c>
      <c r="CZ9" s="52">
        <f t="shared" ref="CZ9:CZ22" si="84">(((H9+L9+Q9+W9+AC9+AI9+AO9+AU9+BA9+BG9+BM9+BS9+BY9+CE9+CK9+CQ9+CW9)/G9)/$J$23)/I9</f>
        <v>0.49911221503333569</v>
      </c>
      <c r="DA9" s="51">
        <f t="shared" ref="DA9:DA22" si="85">CY$23-CZ9</f>
        <v>4.3980014642081677E-2</v>
      </c>
      <c r="DB9" s="53">
        <f t="shared" ref="DB9:DB22" si="86">IF(DA9&gt;0,$G9*$I9*(($H$23+$L$23+$Q$23+$W$23+$AC$23+$AI$23+$AO$23+$AU$23+$BA$23+$BG$23+$BM$23+$BS$23+$BY$23+$CE$23+$CK$23+$CQ$23+$CW$23)/$G$23)*DA9,0)</f>
        <v>225451.18183058899</v>
      </c>
      <c r="DC9" s="127">
        <f t="shared" ref="DC9:DC22" si="87">IF((CX$23-DB$23)&gt;0,DB9,CX$23*DB9/DB$23)</f>
        <v>0</v>
      </c>
      <c r="DD9" s="75" t="s">
        <v>8</v>
      </c>
      <c r="DE9" s="48" t="s">
        <v>8</v>
      </c>
      <c r="DF9" s="52">
        <f t="shared" ref="DF9:DF22" si="88">(((H9+L9+Q9+W9+AC9+AI9+AO9+AU9+BA9+BG9+BM9+BS9+BY9+CE9+CK9+CQ9+CW9+DC9)/G9)/$J$23)/I9</f>
        <v>0.49911221503333569</v>
      </c>
      <c r="DG9" s="51">
        <f t="shared" ref="DG9:DG22" si="89">DE$23-DF9</f>
        <v>4.3980014642081677E-2</v>
      </c>
      <c r="DH9" s="53">
        <f t="shared" ref="DH9:DH22" si="90">IF(DG9&gt;0,$G9*$I9*(($H$23+$L$23+$Q$23+$W$23+$AC$23+$AI$23+$AO$23+$AU$23+$BA$23+$BG$23+$BM$23+$BS$23+$BY$23+$CE$23+$CK$23+$CQ$23+$CW$23+$DC$23)/$G$23)*DG9,0)</f>
        <v>225451.18183058899</v>
      </c>
      <c r="DI9" s="127">
        <f t="shared" ref="DI9:DI22" si="91">IF((DD$23-DH$23)&gt;0,DH9,DD$23*DH9/DH$23)</f>
        <v>0</v>
      </c>
      <c r="DJ9" s="75" t="s">
        <v>8</v>
      </c>
      <c r="DK9" s="48" t="s">
        <v>8</v>
      </c>
      <c r="DL9" s="52">
        <f t="shared" ref="DL9:DL22" si="92">(((H9+L9+Q9+W9+AC9+AI9+AO9+AU9+BA9+BG9+BM9+BS9+BY9+CE9+CK9+CQ9+CW9+DC9+DI9)/G9)/$J$23)/I9</f>
        <v>0.49911221503333569</v>
      </c>
      <c r="DM9" s="51">
        <f t="shared" ref="DM9:DM22" si="93">DK$23-DL9</f>
        <v>4.3980014642081677E-2</v>
      </c>
      <c r="DN9" s="53">
        <f t="shared" ref="DN9:DN22" si="94">IF(DM9&gt;0,$G9*$I9*(($H$23+$L$23+$Q$23+$W$23+$AC$23+$AI$23+$AO$23+$AU$23+$BA$23+$BG$23+$BM$23+$BS$23+$BY$23+$CE$23+$CK$23+$CQ$23+$CW$23+$DC$23+$DI$23)/$G$23)*DM9,0)</f>
        <v>225451.18183058899</v>
      </c>
      <c r="DO9" s="127">
        <f t="shared" ref="DO9:DO22" si="95">IF((DJ$23-DN$23)&gt;0,DN9,DJ$23*DN9/DN$23)</f>
        <v>0</v>
      </c>
      <c r="DP9" s="75" t="s">
        <v>8</v>
      </c>
      <c r="DQ9" s="48" t="s">
        <v>8</v>
      </c>
      <c r="DR9" s="52">
        <f t="shared" ref="DR9:DR22" si="96">(((H9+L9+Q9+W9+AC9+AI9+AO9+AU9+BA9+BG9+BM9+BS9+BY9+CE9+CK9+CQ9+CW9+DC9+DI9+DO9)/G9)/$J$23)/I9</f>
        <v>0.49911221503333569</v>
      </c>
      <c r="DS9" s="51">
        <f t="shared" ref="DS9:DS22" si="97">DQ$23-DR9</f>
        <v>4.3980014642081677E-2</v>
      </c>
      <c r="DT9" s="53">
        <f t="shared" ref="DT9:DT22" si="98">IF(DS9&gt;0,$G9*$I9*(($H$23+$L$23+$Q$23+$W$23+$AC$23+$AI$23+$AO$23+$AU$23+$BA$23+$BG$23+$BM$23+$BS$23+$BY$23+$CE$23+$CK$23+$CQ$23+$CW$23+$DC$23+$DI$23+$DO$23)/$G$23)*DS9,0)</f>
        <v>225451.18183058899</v>
      </c>
      <c r="DU9" s="127">
        <f t="shared" ref="DU9:DU22" si="99">IF((DP$23-DT$23)&gt;0,DT9,DP$23*DT9/DT$23)</f>
        <v>0</v>
      </c>
      <c r="DV9" s="182" t="s">
        <v>8</v>
      </c>
      <c r="DW9" s="172" t="s">
        <v>8</v>
      </c>
      <c r="DX9" s="186">
        <f t="shared" ref="DX9:DX22" si="100">((($H9+$L9+$Q9+$W9+$AC9+$AI9+$AO9+$AU9+$BA9+$BG9+$BM9+$BS9+$BY9+$CE9+$CK9+$CQ9+$CW9+$DC9+$DI9+$DO9+$DU9)/$G9)/$J$23)/$I9</f>
        <v>0.49911221503333569</v>
      </c>
      <c r="DY9" s="173">
        <f t="shared" ref="DY9:DY22" si="101">DW$23-DX9</f>
        <v>4.3980014642081677E-2</v>
      </c>
      <c r="DZ9" s="34">
        <f t="shared" ref="DZ9:DZ22" si="102">IF(DY9&gt;0,$G9*$I9*(($H$23+$L$23+$Q$23+$W$23+$AC$23+$AI$23+$AO$23+$AU$23+$BA$23+$BG$23+$BM$23+$BS$23+$BY$23+$CE$23+$CK$23+$CQ$23+$CW$23+$DC$23+$DI$23+$DO$23+$DU$23)/$G$23)*DY9,0)</f>
        <v>225451.18183058899</v>
      </c>
      <c r="EA9" s="174">
        <f t="shared" ref="EA9:EA22" si="103">IF((DV$23-DZ$23)&gt;0,DZ9,DV$23*DZ9/DZ$23)</f>
        <v>0</v>
      </c>
      <c r="EB9" s="182" t="s">
        <v>8</v>
      </c>
      <c r="EC9" s="172" t="s">
        <v>8</v>
      </c>
      <c r="ED9" s="186">
        <f t="shared" ref="ED9:ED22" si="104">((($H9+$L9+$Q9+$W9+$AC9+$AI9+$AO9+$AU9+$BA9+$BG9+$BM9+$BS9+$BY9+$CE9+$CK9+$CQ9+$CW9+$DC9+$DI9+$DO9+$DU9+$EA9)/$G9)/$J$23)/$I9</f>
        <v>0.49911221503333569</v>
      </c>
      <c r="EE9" s="173">
        <f t="shared" ref="EE9:EE22" si="105">EC$23-ED9</f>
        <v>4.3980014642081677E-2</v>
      </c>
      <c r="EF9" s="34">
        <f t="shared" ref="EF9:EF22" si="106">IF(EE9&gt;0,$G9*$I9*(($H$23+$L$23+$Q$23+$W$23+$AC$23+$AI$23+$AO$23+$AU$23+$BA$23+$BG$23+$BM$23+$BS$23+$BY$23+$CE$23+$CK$23+$CQ$23+$CW$23+$DC$23+$DI$23+$DO$23+$DU$23+$EA$23)/$G$23)*EE9,0)</f>
        <v>225451.18183058899</v>
      </c>
      <c r="EG9" s="174">
        <f t="shared" ref="EG9:EG22" si="107">IF((EB$23-EF$23)&gt;0,EF9,EB$23*EF9/EF$23)</f>
        <v>0</v>
      </c>
      <c r="EH9" s="182" t="s">
        <v>8</v>
      </c>
      <c r="EI9" s="172" t="s">
        <v>8</v>
      </c>
      <c r="EJ9" s="186">
        <f t="shared" ref="EJ9:EJ22" si="108">((($H9+$L9+$Q9+$W9+$AC9+$AI9+$AO9+$AU9+$BA9+$BG9+$BM9+$BS9+$BY9+$CE9+$CK9+$CQ9+$CW9+$DC9+$DI9+$DO9+$DU9+$EA9+$EG9)/$G9)/$J$23)/$I9</f>
        <v>0.49911221503333569</v>
      </c>
      <c r="EK9" s="173">
        <f t="shared" ref="EK9:EK22" si="109">EI$23-EJ9</f>
        <v>4.3980014642081677E-2</v>
      </c>
      <c r="EL9" s="34">
        <f t="shared" ref="EL9:EL22" si="110">IF(EK9&gt;0,$G9*$I9*(($H$23+$L$23+$Q$23+$W$23+$AC$23+$AI$23+$AO$23+$AU$23+$BA$23+$BG$23+$BM$23+$BS$23+$BY$23+$CE$23+$CK$23+$CQ$23+$CW$23+$DC$23+$DI$23+$DO$23+$DU$23+$EA$23+$EG$23)/$G$23)*EK9,0)</f>
        <v>225451.18183058899</v>
      </c>
      <c r="EM9" s="174">
        <f t="shared" ref="EM9:EM22" si="111">IF((EH$23-EL$23)&gt;0,EL9,EH$23*EL9/EL$23)</f>
        <v>0</v>
      </c>
      <c r="EN9" s="75" t="s">
        <v>8</v>
      </c>
      <c r="EO9" s="48" t="s">
        <v>8</v>
      </c>
      <c r="EP9" s="187">
        <f t="shared" ref="EP9:EP22" si="112">((($H9+$L9+$Q9+$W9+$AC9+$AI9+$AO9+$AU9+$BA9+$BG9+$BM9+$BS9+$BY9+$CE9+$CK9+$CQ9+$CW9+$DC9+$DI9+$DO9+$DU9+$EA9+$EG9+$EM9)/$G9)/$J$23)/$I9</f>
        <v>0.49911221503333569</v>
      </c>
      <c r="EQ9" s="51">
        <f t="shared" ref="EQ9:EQ22" si="113">EO$23-EP9</f>
        <v>4.3980014642081677E-2</v>
      </c>
      <c r="ER9" s="53">
        <f t="shared" ref="ER9:ER22" si="114">IF(EQ9&gt;0,$G9*$I9*(($H$23+$L$23+$Q$23+$W$23+$AC$23+$AI$23+$AO$23+$AU$23+$BA$23+$BG$23+$BM$23+$BS$23+$BY$23+$CE$23+$CK$23+$CQ$23+$CW$23+$DC$23+$DI$23+$DO$23+$DU$23+$EA$23+$EG$23+$EM$23)/$G$23)*EQ9,0)</f>
        <v>225451.18183058899</v>
      </c>
      <c r="ES9" s="79">
        <f t="shared" ref="ES9:ES22" si="115">IF((EN$23-ER$23)&gt;0,ER9,EN$23*ER9/ER$23)</f>
        <v>0</v>
      </c>
      <c r="ET9" s="182" t="s">
        <v>8</v>
      </c>
      <c r="EU9" s="172" t="s">
        <v>8</v>
      </c>
      <c r="EV9" s="186">
        <f t="shared" ref="EV9:EV22" si="116">((($H9+$L9+$Q9+$W9+$AC9+$AI9+$AO9+$AU9+$BA9+$BG9+$BM9+$BS9+$BY9+$CE9+$CK9+$CQ9+$CW9+$DC9+$DI9+$DO9+$DU9+$EA9+$EG9+$EM9+$ES9)/$G9)/$J$23)/$I9</f>
        <v>0.49911221503333569</v>
      </c>
      <c r="EW9" s="173">
        <f t="shared" ref="EW9:EW22" si="117">EU$23-EV9</f>
        <v>4.3980014642081677E-2</v>
      </c>
      <c r="EX9" s="34">
        <f t="shared" ref="EX9:EX22" si="118">IF(EW9&gt;0,$G9*$I9*(($H$23+$L$23+$Q$23+$W$23+$AC$23+$AI$23+$AO$23+$AU$23+$BA$23+$BG$23+$BM$23+$BS$23+$BY$23+$CE$23+$CK$23+$CQ$23+$CW$23+$DC$23+$DI$23+$DO$23+$DU$23+$EA$23+$EG$23+$EM$23+$ES$23)/$G$23)*EW9,0)</f>
        <v>225451.18183058899</v>
      </c>
      <c r="EY9" s="174">
        <f t="shared" ref="EY9:EY22" si="119">IF((ET$23-EX$23)&gt;0,EX9,ET$23*EX9/EX$23)</f>
        <v>0</v>
      </c>
      <c r="EZ9" s="182" t="s">
        <v>8</v>
      </c>
      <c r="FA9" s="172" t="s">
        <v>8</v>
      </c>
      <c r="FB9" s="186">
        <f t="shared" ref="FB9:FB22" si="120">((($H9+$L9+$Q9+$W9+$AC9+$AI9+$AO9+$AU9+$BA9+$BG9+$BM9+$BS9+$BY9+$CE9+$CK9+$CQ9+$CW9+$DC9+$DI9+$DO9+$DU9+$EA9+$EG9+$EM9+$ES9+$EY9)/$G9)/$J$23)/$I9</f>
        <v>0.49911221503333569</v>
      </c>
      <c r="FC9" s="173">
        <f t="shared" ref="FC9:FC22" si="121">FA$23-FB9</f>
        <v>4.3980014642081677E-2</v>
      </c>
      <c r="FD9" s="34">
        <f t="shared" ref="FD9:FD22" si="122">IF(FC9&gt;0,$G9*$I9*(($H$23+$L$23+$Q$23+$W$23+$AC$23+$AI$23+$AO$23+$AU$23+$BA$23+$BG$23+$BM$23+$BS$23+$BY$23+$CE$23+$CK$23+$CQ$23+$CW$23+$DC$23+$DI$23+$DO$23+$DU$23+$EA$23+$EG$23+$EM$23+$ES$23+$EY$23)/$G$23)*FC9,0)</f>
        <v>225451.18183058899</v>
      </c>
      <c r="FE9" s="174">
        <f t="shared" ref="FE9:FE22" si="123">IF((EZ$23-FD$23)&gt;0,FD9,EZ$23*FD9/FD$23)</f>
        <v>0</v>
      </c>
      <c r="FF9" s="182" t="s">
        <v>8</v>
      </c>
      <c r="FG9" s="172" t="s">
        <v>8</v>
      </c>
      <c r="FH9" s="186">
        <f t="shared" ref="FH9:FH22" si="124">((($H9+$L9+$Q9+$W9+$AC9+$AI9+$AO9+$AU9+$BA9+$BG9+$BM9+$BS9+$BY9+$CE9+$CK9+$CQ9+$CW9+$DC9+$DI9+$DO9+$DU9+$EA9+$EG9+$EM9+$ES9+$EY9+$FE9)/$G9)/$J$23)/$I9</f>
        <v>0.49911221503333569</v>
      </c>
      <c r="FI9" s="173">
        <f t="shared" ref="FI9:FI22" si="125">FG$23-FH9</f>
        <v>4.3980014642081677E-2</v>
      </c>
      <c r="FJ9" s="34">
        <f t="shared" ref="FJ9:FJ22" si="126">IF(FI9&gt;0,$G9*$I9*(($H$23+$L$23+$Q$23+$W$23+$AC$23+$AI$23+$AO$23+$AU$23+$BA$23+$BG$23+$BM$23+$BS$23+$BY$23+$CE$23+$CK$23+$CQ$23+$CW$23+$DC$23+$DI$23+$DO$23+$DU$23+$EA$23+$EG$23+$EM$23+$ES$23+$EY$23+$FE$23)/$G$23)*FI9,0)</f>
        <v>225451.18183058899</v>
      </c>
      <c r="FK9" s="174">
        <f t="shared" ref="FK9:FK22" si="127">IF((FF$23-FJ$23)&gt;0,FJ9,FF$23*FJ9/FJ$23)</f>
        <v>0</v>
      </c>
      <c r="FL9" s="182" t="s">
        <v>8</v>
      </c>
      <c r="FM9" s="172" t="s">
        <v>8</v>
      </c>
      <c r="FN9" s="186">
        <f t="shared" ref="FN9:FN22" si="128">((($H9+$L9+$Q9+$W9+$AC9+$AI9+$AO9+$AU9+$BA9+$BG9+$BM9+$BS9+$BY9+$CE9+$CK9+$CQ9+$CW9+$DC9+$DI9+$DO9+$DU9+$EA9+$EG9+$EM9+$ES9+$EY9+$FE9+$FK9)/$G9)/$J$23)/$I9</f>
        <v>0.49911221503333569</v>
      </c>
      <c r="FO9" s="173">
        <f t="shared" ref="FO9:FO22" si="129">FM$23-FN9</f>
        <v>4.3980014642081677E-2</v>
      </c>
      <c r="FP9" s="34">
        <f t="shared" ref="FP9:FP22" si="130">IF(FO9&gt;0,$G9*$I9*(($H$23+$L$23+$Q$23+$W$23+$AC$23+$AI$23+$AO$23+$AU$23+$BA$23+$BG$23+$BM$23+$BS$23+$BY$23+$CE$23+$CK$23+$CQ$23+$CW$23+$DC$23+$DI$23+$DO$23+$DU$23+$EA$23+$EG$23+$EM$23+$ES$23+$EY$23+$FE$23+$FK$23)/$G$23)*FO9,0)</f>
        <v>225451.18183058899</v>
      </c>
      <c r="FQ9" s="174">
        <f t="shared" ref="FQ9:FQ22" si="131">IF((FL$23-FP$23)&gt;0,FP9,FL$23*FP9/FP$23)</f>
        <v>0</v>
      </c>
      <c r="FR9" s="182" t="s">
        <v>8</v>
      </c>
      <c r="FS9" s="172" t="s">
        <v>8</v>
      </c>
      <c r="FT9" s="186">
        <f t="shared" ref="FT9:FT22" si="132">((($H9+$L9+$Q9+$W9+$AC9+$AI9+$AO9+$AU9+$BA9+$BG9+$BM9+$BS9+$BY9+$CE9+$CK9+$CQ9+$CW9+$DC9+$DI9+$DO9+$DU9+$EA9+$EG9+$EM9+$ES9+$EY9+$FE9+$FK9+$FQ9)/$G9)/$J$23)/$I9</f>
        <v>0.49911221503333569</v>
      </c>
      <c r="FU9" s="173">
        <f t="shared" ref="FU9:FU22" si="133">FS$23-FT9</f>
        <v>4.3980014642081677E-2</v>
      </c>
      <c r="FV9" s="34">
        <f t="shared" ref="FV9:FV22" si="134">IF(FU9&gt;0,$G9*$I9*(($H$23+$L$23+$Q$23+$W$23+$AC$23+$AI$23+$AO$23+$AU$23+$BA$23+$BG$23+$BM$23+$BS$23+$BY$23+$CE$23+$CK$23+$CQ$23+$CW$23+$DC$23+$DI$23+$DO$23+$DU$23+$EA$23+$EG$23+$EM$23+$ES$23+$EY$23+$FE$23+$FK$23+$FQ$23)/$G$23)*FU9,0)</f>
        <v>225451.18183058899</v>
      </c>
      <c r="FW9" s="174">
        <f t="shared" ref="FW9:FW22" si="135">IF((FR$23-FV$23)&gt;0,FV9,FR$23*FV9/FV$23)</f>
        <v>0</v>
      </c>
      <c r="FX9" s="182" t="s">
        <v>8</v>
      </c>
      <c r="FY9" s="172" t="s">
        <v>8</v>
      </c>
      <c r="FZ9" s="186">
        <f t="shared" ref="FZ9:FZ22" si="136">((($H9+$L9+$Q9+$W9+$AC9+$AI9+$AO9+$AU9+$BA9+$BG9+$BM9+$BS9+$BY9+$CE9+$CK9+$CQ9+$CW9+$DC9+$DI9+$DO9+$DU9+$EA9+$EG9+$EM9+$ES9+$EY9+$FE9+$FK9+$FQ9+$FW9)/$G9)/$J$23)/$I9</f>
        <v>0.49911221503333569</v>
      </c>
      <c r="GA9" s="173">
        <f t="shared" ref="GA9:GA22" si="137">FY$23-FZ9</f>
        <v>4.3980014642081677E-2</v>
      </c>
      <c r="GB9" s="34">
        <f t="shared" ref="GB9:GB22" si="138">IF(GA9&gt;0,$G9*$I9*(($H$23+$L$23+$Q$23+$W$23+$AC$23+$AI$23+$AO$23+$AU$23+$BA$23+$BG$23+$BM$23+$BS$23+$BY$23+$CE$23+$CK$23+$CQ$23+$CW$23+$DC$23+$DI$23+$DO$23+$DU$23+$EA$23+$EG$23+$EM$23+$ES$23+$EY$23+$FE$23+$FK$23+$FQ$23+$FW$23)/$G$23)*GA9,0)</f>
        <v>225451.18183058899</v>
      </c>
      <c r="GC9" s="174">
        <f t="shared" ref="GC9:GC22" si="139">IF((FX$23-GB$23)&gt;0,GB9,FX$23*GB9/GB$23)</f>
        <v>0</v>
      </c>
      <c r="GD9" s="182" t="s">
        <v>8</v>
      </c>
      <c r="GE9" s="172" t="s">
        <v>8</v>
      </c>
      <c r="GF9" s="186">
        <f t="shared" ref="GF9:GF22" si="140">((($H9+$L9+$Q9+$W9+$AC9+$AI9+$AO9+$AU9+$BA9+$BG9+$BM9+$BS9+$BY9+$CE9+$CK9+$CQ9+$CW9+$DC9+$DI9+$DO9+$DU9+$EA9+$EG9+$EM9+$ES9+$EY9+$FE9+$FK9+$FQ9+$FW9+$GC9)/$G9)/$J$23)/$I9</f>
        <v>0.49911221503333569</v>
      </c>
      <c r="GG9" s="173">
        <f t="shared" ref="GG9:GG22" si="141">GE$23-GF9</f>
        <v>4.3980014642081677E-2</v>
      </c>
      <c r="GH9" s="34">
        <f t="shared" ref="GH9:GH22" si="142">IF(GG9&gt;0,$G9*$I9*(($H$23+$L$23+$Q$23+$W$23+$AC$23+$AI$23+$AO$23+$AU$23+$BA$23+$BG$23+$BM$23+$BS$23+$BY$23+$CE$23+$CK$23+$CQ$23+$CW$23+$DC$23+$DI$23+$DO$23+$DU$23+$EA$23+$EG$23+$EM$23+$ES$23+$EY$23+$FE$23+$FK$23+$FQ$23+$FW$23+$GC$23)/$G$23)*GG9,0)</f>
        <v>225451.18183058899</v>
      </c>
      <c r="GI9" s="190">
        <f t="shared" ref="GI9:GI22" si="143">IF((GD$23-GH$23)&gt;0,GH9,GD$23*GH9/GH$23)</f>
        <v>0</v>
      </c>
      <c r="GJ9" s="188">
        <f>Q9+W9+AC9+AI9+AO9+AU9+BA9+BG9+BM9+BS9+BY9+CE9+CK9+CQ9+CW9+DC9+DI9+DO9+DU9+EA9+EG9+EM9+ES9+EY9+FE9+FK9+FQ9+FW9+GC9+GI9</f>
        <v>1023587.5618456791</v>
      </c>
      <c r="GK9" s="175">
        <f t="shared" ref="GK9:GK23" si="144">L9+GJ9</f>
        <v>1036785.6218557142</v>
      </c>
      <c r="GL9" s="216">
        <f t="shared" ref="GL9:GL22" si="145">K9+GK9/($H$23/$G$23)/G9/I9</f>
        <v>0.4991122150333358</v>
      </c>
      <c r="GM9" s="231">
        <f>ROUND(GK9,2)</f>
        <v>1036785.62</v>
      </c>
      <c r="GN9" s="233"/>
    </row>
    <row r="10" spans="1:196" ht="15.75" x14ac:dyDescent="0.25">
      <c r="A10" s="161" t="s">
        <v>175</v>
      </c>
      <c r="B10" s="164" t="s">
        <v>8</v>
      </c>
      <c r="C10" s="164" t="s">
        <v>8</v>
      </c>
      <c r="D10" s="164" t="s">
        <v>8</v>
      </c>
      <c r="E10" s="164" t="s">
        <v>8</v>
      </c>
      <c r="F10" s="164" t="s">
        <v>8</v>
      </c>
      <c r="G10" s="108">
        <f>'Исходные данные'!C12</f>
        <v>817</v>
      </c>
      <c r="H10" s="49">
        <f>'Исходные данные'!E12</f>
        <v>219945.43157263048</v>
      </c>
      <c r="I10" s="32">
        <f>'Расчет КРП'!G8</f>
        <v>5.6555578631499976</v>
      </c>
      <c r="J10" s="115" t="s">
        <v>8</v>
      </c>
      <c r="K10" s="119">
        <f t="shared" si="22"/>
        <v>3.6599982881899459E-2</v>
      </c>
      <c r="L10" s="77">
        <f t="shared" si="23"/>
        <v>149761.319836093</v>
      </c>
      <c r="M10" s="73">
        <f t="shared" si="24"/>
        <v>6.1520990348070223E-2</v>
      </c>
      <c r="N10" s="30" t="s">
        <v>8</v>
      </c>
      <c r="O10" s="33">
        <f t="shared" si="25"/>
        <v>9.2805012041110732E-2</v>
      </c>
      <c r="P10" s="34">
        <f t="shared" si="26"/>
        <v>636310.57143809879</v>
      </c>
      <c r="Q10" s="80">
        <f t="shared" si="27"/>
        <v>636310.57143809879</v>
      </c>
      <c r="R10" s="169" t="s">
        <v>8</v>
      </c>
      <c r="S10" s="30" t="s">
        <v>8</v>
      </c>
      <c r="T10" s="35">
        <f t="shared" si="28"/>
        <v>0.16740614493249537</v>
      </c>
      <c r="U10" s="33">
        <f t="shared" si="29"/>
        <v>8.883961545928229E-2</v>
      </c>
      <c r="V10" s="53">
        <f t="shared" si="30"/>
        <v>781109.23996936367</v>
      </c>
      <c r="W10" s="80">
        <f t="shared" si="31"/>
        <v>781109.23996936367</v>
      </c>
      <c r="X10" s="76" t="s">
        <v>8</v>
      </c>
      <c r="Y10" s="30" t="s">
        <v>8</v>
      </c>
      <c r="Z10" s="35">
        <f t="shared" si="32"/>
        <v>0.29738649781985088</v>
      </c>
      <c r="AA10" s="33">
        <f t="shared" si="33"/>
        <v>6.9673941125488081E-2</v>
      </c>
      <c r="AB10" s="53">
        <f t="shared" si="34"/>
        <v>766375.96512848837</v>
      </c>
      <c r="AC10" s="80">
        <f t="shared" si="35"/>
        <v>766375.96512848837</v>
      </c>
      <c r="AD10" s="76" t="s">
        <v>8</v>
      </c>
      <c r="AE10" s="30" t="s">
        <v>8</v>
      </c>
      <c r="AF10" s="35">
        <f t="shared" si="36"/>
        <v>0.42491516256294826</v>
      </c>
      <c r="AG10" s="33">
        <f t="shared" si="37"/>
        <v>5.3733181033884858E-2</v>
      </c>
      <c r="AH10" s="53">
        <f t="shared" si="38"/>
        <v>709216.74630687374</v>
      </c>
      <c r="AI10" s="80">
        <f t="shared" si="39"/>
        <v>451528.04027984448</v>
      </c>
      <c r="AJ10" s="76" t="s">
        <v>8</v>
      </c>
      <c r="AK10" s="30" t="s">
        <v>8</v>
      </c>
      <c r="AL10" s="35">
        <f t="shared" si="40"/>
        <v>0.50005161084822547</v>
      </c>
      <c r="AM10" s="33">
        <f t="shared" si="41"/>
        <v>4.3040618827191901E-2</v>
      </c>
      <c r="AN10" s="53">
        <f t="shared" si="42"/>
        <v>623197.12539270939</v>
      </c>
      <c r="AO10" s="80">
        <f t="shared" si="43"/>
        <v>0</v>
      </c>
      <c r="AP10" s="76" t="s">
        <v>8</v>
      </c>
      <c r="AQ10" s="30" t="s">
        <v>8</v>
      </c>
      <c r="AR10" s="35">
        <f t="shared" si="44"/>
        <v>0.50005161084822547</v>
      </c>
      <c r="AS10" s="33">
        <f t="shared" si="45"/>
        <v>4.3040618827191901E-2</v>
      </c>
      <c r="AT10" s="53">
        <f t="shared" si="46"/>
        <v>623197.12539270939</v>
      </c>
      <c r="AU10" s="80">
        <f t="shared" si="47"/>
        <v>0</v>
      </c>
      <c r="AV10" s="76" t="s">
        <v>8</v>
      </c>
      <c r="AW10" s="30" t="s">
        <v>8</v>
      </c>
      <c r="AX10" s="35">
        <f t="shared" si="48"/>
        <v>0.50005161084822547</v>
      </c>
      <c r="AY10" s="33">
        <f t="shared" si="49"/>
        <v>4.3040618827191901E-2</v>
      </c>
      <c r="AZ10" s="53">
        <f t="shared" si="50"/>
        <v>623197.12539270939</v>
      </c>
      <c r="BA10" s="80">
        <f t="shared" si="51"/>
        <v>0</v>
      </c>
      <c r="BB10" s="76" t="s">
        <v>8</v>
      </c>
      <c r="BC10" s="30" t="s">
        <v>8</v>
      </c>
      <c r="BD10" s="35">
        <f t="shared" si="52"/>
        <v>0.50005161084822547</v>
      </c>
      <c r="BE10" s="33">
        <f t="shared" si="53"/>
        <v>4.3040618827191901E-2</v>
      </c>
      <c r="BF10" s="53">
        <f t="shared" si="54"/>
        <v>623197.12539270939</v>
      </c>
      <c r="BG10" s="80">
        <f t="shared" si="55"/>
        <v>0</v>
      </c>
      <c r="BH10" s="76" t="s">
        <v>8</v>
      </c>
      <c r="BI10" s="30" t="s">
        <v>8</v>
      </c>
      <c r="BJ10" s="35">
        <f t="shared" si="56"/>
        <v>0.50005161084822547</v>
      </c>
      <c r="BK10" s="33">
        <f t="shared" si="57"/>
        <v>4.3040618827191901E-2</v>
      </c>
      <c r="BL10" s="53">
        <f t="shared" si="58"/>
        <v>623197.12539270939</v>
      </c>
      <c r="BM10" s="80">
        <f t="shared" si="59"/>
        <v>0</v>
      </c>
      <c r="BN10" s="76" t="s">
        <v>8</v>
      </c>
      <c r="BO10" s="30" t="s">
        <v>8</v>
      </c>
      <c r="BP10" s="35">
        <f t="shared" si="60"/>
        <v>0.50005161084822547</v>
      </c>
      <c r="BQ10" s="33">
        <f t="shared" si="61"/>
        <v>4.3040618827191901E-2</v>
      </c>
      <c r="BR10" s="53">
        <f t="shared" si="62"/>
        <v>623197.12539270939</v>
      </c>
      <c r="BS10" s="128">
        <f t="shared" si="63"/>
        <v>0</v>
      </c>
      <c r="BT10" s="76" t="s">
        <v>8</v>
      </c>
      <c r="BU10" s="30" t="s">
        <v>8</v>
      </c>
      <c r="BV10" s="35">
        <f t="shared" si="64"/>
        <v>0.50005161084822547</v>
      </c>
      <c r="BW10" s="33">
        <f t="shared" si="65"/>
        <v>4.3040618827191901E-2</v>
      </c>
      <c r="BX10" s="53">
        <f t="shared" si="66"/>
        <v>623197.12539270939</v>
      </c>
      <c r="BY10" s="128">
        <f t="shared" si="67"/>
        <v>0</v>
      </c>
      <c r="BZ10" s="76" t="s">
        <v>8</v>
      </c>
      <c r="CA10" s="30" t="s">
        <v>8</v>
      </c>
      <c r="CB10" s="35">
        <f t="shared" si="68"/>
        <v>0.50005161084822547</v>
      </c>
      <c r="CC10" s="33">
        <f t="shared" si="69"/>
        <v>4.3040618827191901E-2</v>
      </c>
      <c r="CD10" s="53">
        <f t="shared" si="70"/>
        <v>623197.12539270939</v>
      </c>
      <c r="CE10" s="128">
        <f t="shared" si="71"/>
        <v>0</v>
      </c>
      <c r="CF10" s="76" t="s">
        <v>8</v>
      </c>
      <c r="CG10" s="30" t="s">
        <v>8</v>
      </c>
      <c r="CH10" s="35">
        <f t="shared" si="72"/>
        <v>0.50005161084822547</v>
      </c>
      <c r="CI10" s="33">
        <f t="shared" si="73"/>
        <v>4.3040618827191901E-2</v>
      </c>
      <c r="CJ10" s="53">
        <f t="shared" si="74"/>
        <v>623197.12539270939</v>
      </c>
      <c r="CK10" s="128">
        <f t="shared" si="75"/>
        <v>0</v>
      </c>
      <c r="CL10" s="76" t="s">
        <v>8</v>
      </c>
      <c r="CM10" s="30" t="s">
        <v>8</v>
      </c>
      <c r="CN10" s="35">
        <f t="shared" si="76"/>
        <v>0.50005161084822547</v>
      </c>
      <c r="CO10" s="33">
        <f t="shared" si="77"/>
        <v>4.3040618827191901E-2</v>
      </c>
      <c r="CP10" s="53">
        <f t="shared" si="78"/>
        <v>623197.12539270939</v>
      </c>
      <c r="CQ10" s="128">
        <f t="shared" si="79"/>
        <v>0</v>
      </c>
      <c r="CR10" s="76" t="s">
        <v>8</v>
      </c>
      <c r="CS10" s="30" t="s">
        <v>8</v>
      </c>
      <c r="CT10" s="35">
        <f t="shared" si="80"/>
        <v>0.50005161084822547</v>
      </c>
      <c r="CU10" s="33">
        <f t="shared" si="81"/>
        <v>4.3040618827191901E-2</v>
      </c>
      <c r="CV10" s="53">
        <f t="shared" si="82"/>
        <v>623197.12539270939</v>
      </c>
      <c r="CW10" s="128">
        <f t="shared" si="83"/>
        <v>0</v>
      </c>
      <c r="CX10" s="76" t="s">
        <v>8</v>
      </c>
      <c r="CY10" s="30" t="s">
        <v>8</v>
      </c>
      <c r="CZ10" s="35">
        <f t="shared" si="84"/>
        <v>0.50005161084822547</v>
      </c>
      <c r="DA10" s="33">
        <f t="shared" si="85"/>
        <v>4.3040618827191901E-2</v>
      </c>
      <c r="DB10" s="53">
        <f t="shared" si="86"/>
        <v>623197.12539270939</v>
      </c>
      <c r="DC10" s="128">
        <f t="shared" si="87"/>
        <v>0</v>
      </c>
      <c r="DD10" s="76" t="s">
        <v>8</v>
      </c>
      <c r="DE10" s="30" t="s">
        <v>8</v>
      </c>
      <c r="DF10" s="35">
        <f t="shared" si="88"/>
        <v>0.50005161084822547</v>
      </c>
      <c r="DG10" s="33">
        <f t="shared" si="89"/>
        <v>4.3040618827191901E-2</v>
      </c>
      <c r="DH10" s="53">
        <f t="shared" si="90"/>
        <v>623197.12539270939</v>
      </c>
      <c r="DI10" s="128">
        <f t="shared" si="91"/>
        <v>0</v>
      </c>
      <c r="DJ10" s="76" t="s">
        <v>8</v>
      </c>
      <c r="DK10" s="30" t="s">
        <v>8</v>
      </c>
      <c r="DL10" s="35">
        <f t="shared" si="92"/>
        <v>0.50005161084822547</v>
      </c>
      <c r="DM10" s="33">
        <f t="shared" si="93"/>
        <v>4.3040618827191901E-2</v>
      </c>
      <c r="DN10" s="53">
        <f t="shared" si="94"/>
        <v>623197.12539270939</v>
      </c>
      <c r="DO10" s="128">
        <f t="shared" si="95"/>
        <v>0</v>
      </c>
      <c r="DP10" s="76" t="s">
        <v>8</v>
      </c>
      <c r="DQ10" s="30" t="s">
        <v>8</v>
      </c>
      <c r="DR10" s="35">
        <f t="shared" si="96"/>
        <v>0.50005161084822547</v>
      </c>
      <c r="DS10" s="33">
        <f t="shared" si="97"/>
        <v>4.3040618827191901E-2</v>
      </c>
      <c r="DT10" s="53">
        <f t="shared" si="98"/>
        <v>623197.12539270939</v>
      </c>
      <c r="DU10" s="128">
        <f t="shared" si="99"/>
        <v>0</v>
      </c>
      <c r="DV10" s="76" t="s">
        <v>8</v>
      </c>
      <c r="DW10" s="30" t="s">
        <v>8</v>
      </c>
      <c r="DX10" s="35">
        <f t="shared" si="100"/>
        <v>0.50005161084822547</v>
      </c>
      <c r="DY10" s="33">
        <f t="shared" si="101"/>
        <v>4.3040618827191901E-2</v>
      </c>
      <c r="DZ10" s="34">
        <f t="shared" si="102"/>
        <v>623197.12539270939</v>
      </c>
      <c r="EA10" s="80">
        <f t="shared" si="103"/>
        <v>0</v>
      </c>
      <c r="EB10" s="76" t="s">
        <v>8</v>
      </c>
      <c r="EC10" s="30" t="s">
        <v>8</v>
      </c>
      <c r="ED10" s="35">
        <f t="shared" si="104"/>
        <v>0.50005161084822547</v>
      </c>
      <c r="EE10" s="33">
        <f t="shared" si="105"/>
        <v>4.3040618827191901E-2</v>
      </c>
      <c r="EF10" s="34">
        <f t="shared" si="106"/>
        <v>623197.12539270939</v>
      </c>
      <c r="EG10" s="80">
        <f t="shared" si="107"/>
        <v>0</v>
      </c>
      <c r="EH10" s="76" t="s">
        <v>8</v>
      </c>
      <c r="EI10" s="30" t="s">
        <v>8</v>
      </c>
      <c r="EJ10" s="35">
        <f t="shared" si="108"/>
        <v>0.50005161084822547</v>
      </c>
      <c r="EK10" s="33">
        <f t="shared" si="109"/>
        <v>4.3040618827191901E-2</v>
      </c>
      <c r="EL10" s="34">
        <f t="shared" si="110"/>
        <v>623197.12539270939</v>
      </c>
      <c r="EM10" s="80">
        <f t="shared" si="111"/>
        <v>0</v>
      </c>
      <c r="EN10" s="76" t="s">
        <v>8</v>
      </c>
      <c r="EO10" s="30" t="s">
        <v>8</v>
      </c>
      <c r="EP10" s="35">
        <f t="shared" si="112"/>
        <v>0.50005161084822547</v>
      </c>
      <c r="EQ10" s="33">
        <f t="shared" si="113"/>
        <v>4.3040618827191901E-2</v>
      </c>
      <c r="ER10" s="34">
        <f t="shared" si="114"/>
        <v>623197.12539270939</v>
      </c>
      <c r="ES10" s="80">
        <f t="shared" si="115"/>
        <v>0</v>
      </c>
      <c r="ET10" s="76" t="s">
        <v>8</v>
      </c>
      <c r="EU10" s="30" t="s">
        <v>8</v>
      </c>
      <c r="EV10" s="35">
        <f t="shared" si="116"/>
        <v>0.50005161084822547</v>
      </c>
      <c r="EW10" s="33">
        <f t="shared" si="117"/>
        <v>4.3040618827191901E-2</v>
      </c>
      <c r="EX10" s="34">
        <f t="shared" si="118"/>
        <v>623197.12539270939</v>
      </c>
      <c r="EY10" s="80">
        <f t="shared" si="119"/>
        <v>0</v>
      </c>
      <c r="EZ10" s="76" t="s">
        <v>8</v>
      </c>
      <c r="FA10" s="30" t="s">
        <v>8</v>
      </c>
      <c r="FB10" s="35">
        <f t="shared" si="120"/>
        <v>0.50005161084822547</v>
      </c>
      <c r="FC10" s="33">
        <f t="shared" si="121"/>
        <v>4.3040618827191901E-2</v>
      </c>
      <c r="FD10" s="34">
        <f t="shared" si="122"/>
        <v>623197.12539270939</v>
      </c>
      <c r="FE10" s="80">
        <f t="shared" si="123"/>
        <v>0</v>
      </c>
      <c r="FF10" s="76" t="s">
        <v>8</v>
      </c>
      <c r="FG10" s="30" t="s">
        <v>8</v>
      </c>
      <c r="FH10" s="35">
        <f t="shared" si="124"/>
        <v>0.50005161084822547</v>
      </c>
      <c r="FI10" s="33">
        <f t="shared" si="125"/>
        <v>4.3040618827191901E-2</v>
      </c>
      <c r="FJ10" s="34">
        <f t="shared" si="126"/>
        <v>623197.12539270939</v>
      </c>
      <c r="FK10" s="80">
        <f t="shared" si="127"/>
        <v>0</v>
      </c>
      <c r="FL10" s="76" t="s">
        <v>8</v>
      </c>
      <c r="FM10" s="30" t="s">
        <v>8</v>
      </c>
      <c r="FN10" s="35">
        <f t="shared" si="128"/>
        <v>0.50005161084822547</v>
      </c>
      <c r="FO10" s="33">
        <f t="shared" si="129"/>
        <v>4.3040618827191901E-2</v>
      </c>
      <c r="FP10" s="34">
        <f t="shared" si="130"/>
        <v>623197.12539270939</v>
      </c>
      <c r="FQ10" s="80">
        <f t="shared" si="131"/>
        <v>0</v>
      </c>
      <c r="FR10" s="76" t="s">
        <v>8</v>
      </c>
      <c r="FS10" s="30" t="s">
        <v>8</v>
      </c>
      <c r="FT10" s="35">
        <f t="shared" si="132"/>
        <v>0.50005161084822547</v>
      </c>
      <c r="FU10" s="33">
        <f t="shared" si="133"/>
        <v>4.3040618827191901E-2</v>
      </c>
      <c r="FV10" s="34">
        <f t="shared" si="134"/>
        <v>623197.12539270939</v>
      </c>
      <c r="FW10" s="80">
        <f t="shared" si="135"/>
        <v>0</v>
      </c>
      <c r="FX10" s="76" t="s">
        <v>8</v>
      </c>
      <c r="FY10" s="30" t="s">
        <v>8</v>
      </c>
      <c r="FZ10" s="35">
        <f t="shared" si="136"/>
        <v>0.50005161084822547</v>
      </c>
      <c r="GA10" s="33">
        <f t="shared" si="137"/>
        <v>4.3040618827191901E-2</v>
      </c>
      <c r="GB10" s="34">
        <f t="shared" si="138"/>
        <v>623197.12539270939</v>
      </c>
      <c r="GC10" s="80">
        <f t="shared" si="139"/>
        <v>0</v>
      </c>
      <c r="GD10" s="76" t="s">
        <v>8</v>
      </c>
      <c r="GE10" s="30" t="s">
        <v>8</v>
      </c>
      <c r="GF10" s="35">
        <f t="shared" si="140"/>
        <v>0.50005161084822547</v>
      </c>
      <c r="GG10" s="33">
        <f t="shared" si="141"/>
        <v>4.3040618827191901E-2</v>
      </c>
      <c r="GH10" s="34">
        <f t="shared" si="142"/>
        <v>623197.12539270939</v>
      </c>
      <c r="GI10" s="128">
        <f t="shared" si="143"/>
        <v>0</v>
      </c>
      <c r="GJ10" s="176">
        <f t="shared" ref="GJ10:GJ22" si="146">Q10+W10+AC10+AI10+AO10+AU10+BA10+BG10+BM10+BS10+BY10+CE10+CK10+CQ10+CW10+DC10+DI10+DO10+DU10+EA10+EG10+EM10+ES10+EY10+FE10+FK10+FQ10+FW10+GC10+GI10</f>
        <v>2635323.8168157949</v>
      </c>
      <c r="GK10" s="99">
        <f t="shared" si="144"/>
        <v>2785085.136651888</v>
      </c>
      <c r="GL10" s="217">
        <f t="shared" si="145"/>
        <v>0.50005161084822536</v>
      </c>
      <c r="GM10" s="231">
        <f t="shared" ref="GM10:GM22" si="147">ROUND(GK10,2)</f>
        <v>2785085.14</v>
      </c>
      <c r="GN10" s="233"/>
    </row>
    <row r="11" spans="1:196" ht="15.75" x14ac:dyDescent="0.25">
      <c r="A11" s="161" t="s">
        <v>176</v>
      </c>
      <c r="B11" s="164" t="s">
        <v>8</v>
      </c>
      <c r="C11" s="164" t="s">
        <v>8</v>
      </c>
      <c r="D11" s="164" t="s">
        <v>8</v>
      </c>
      <c r="E11" s="164" t="s">
        <v>8</v>
      </c>
      <c r="F11" s="164" t="s">
        <v>8</v>
      </c>
      <c r="G11" s="108">
        <f>'Исходные данные'!C13</f>
        <v>546</v>
      </c>
      <c r="H11" s="49">
        <f>'Исходные данные'!E13</f>
        <v>120983.37553883546</v>
      </c>
      <c r="I11" s="32">
        <f>'Расчет КРП'!G9</f>
        <v>4.5629077159399731</v>
      </c>
      <c r="J11" s="115" t="s">
        <v>8</v>
      </c>
      <c r="K11" s="119">
        <f t="shared" si="22"/>
        <v>3.7338323369592294E-2</v>
      </c>
      <c r="L11" s="77">
        <f t="shared" si="23"/>
        <v>100085.28840943301</v>
      </c>
      <c r="M11" s="73">
        <f t="shared" si="24"/>
        <v>6.8227004120368182E-2</v>
      </c>
      <c r="N11" s="30" t="s">
        <v>8</v>
      </c>
      <c r="O11" s="33">
        <f t="shared" si="25"/>
        <v>8.6098998268812774E-2</v>
      </c>
      <c r="P11" s="34">
        <f t="shared" si="26"/>
        <v>318297.05992420675</v>
      </c>
      <c r="Q11" s="80">
        <f t="shared" si="27"/>
        <v>318297.05992420675</v>
      </c>
      <c r="R11" s="169" t="s">
        <v>8</v>
      </c>
      <c r="S11" s="30" t="s">
        <v>8</v>
      </c>
      <c r="T11" s="35">
        <f t="shared" si="28"/>
        <v>0.16646098459998843</v>
      </c>
      <c r="U11" s="33">
        <f t="shared" si="29"/>
        <v>8.9784775791789229E-2</v>
      </c>
      <c r="V11" s="53">
        <f t="shared" si="30"/>
        <v>425642.15081993048</v>
      </c>
      <c r="W11" s="80">
        <f t="shared" si="31"/>
        <v>425642.15081993048</v>
      </c>
      <c r="X11" s="76" t="s">
        <v>8</v>
      </c>
      <c r="Y11" s="30" t="s">
        <v>8</v>
      </c>
      <c r="Z11" s="35">
        <f t="shared" si="32"/>
        <v>0.29782419211722116</v>
      </c>
      <c r="AA11" s="33">
        <f t="shared" si="33"/>
        <v>6.9236246828117798E-2</v>
      </c>
      <c r="AB11" s="53">
        <f t="shared" si="34"/>
        <v>410621.6443082944</v>
      </c>
      <c r="AC11" s="80">
        <f t="shared" si="35"/>
        <v>410621.6443082944</v>
      </c>
      <c r="AD11" s="76" t="s">
        <v>8</v>
      </c>
      <c r="AE11" s="30" t="s">
        <v>8</v>
      </c>
      <c r="AF11" s="35">
        <f t="shared" si="36"/>
        <v>0.42455171703088401</v>
      </c>
      <c r="AG11" s="33">
        <f t="shared" si="37"/>
        <v>5.4096626565949102E-2</v>
      </c>
      <c r="AH11" s="53">
        <f t="shared" si="38"/>
        <v>384984.66878921428</v>
      </c>
      <c r="AI11" s="80">
        <f t="shared" si="39"/>
        <v>245103.31142260303</v>
      </c>
      <c r="AJ11" s="76" t="s">
        <v>8</v>
      </c>
      <c r="AK11" s="30" t="s">
        <v>8</v>
      </c>
      <c r="AL11" s="35">
        <f t="shared" si="40"/>
        <v>0.50019638027568947</v>
      </c>
      <c r="AM11" s="33">
        <f t="shared" si="41"/>
        <v>4.2895849399727903E-2</v>
      </c>
      <c r="AN11" s="53">
        <f t="shared" si="42"/>
        <v>334887.56974888226</v>
      </c>
      <c r="AO11" s="80">
        <f t="shared" si="43"/>
        <v>0</v>
      </c>
      <c r="AP11" s="76" t="s">
        <v>8</v>
      </c>
      <c r="AQ11" s="30" t="s">
        <v>8</v>
      </c>
      <c r="AR11" s="35">
        <f t="shared" si="44"/>
        <v>0.50019638027568947</v>
      </c>
      <c r="AS11" s="33">
        <f t="shared" si="45"/>
        <v>4.2895849399727903E-2</v>
      </c>
      <c r="AT11" s="53">
        <f t="shared" si="46"/>
        <v>334887.56974888226</v>
      </c>
      <c r="AU11" s="80">
        <f t="shared" si="47"/>
        <v>0</v>
      </c>
      <c r="AV11" s="76" t="s">
        <v>8</v>
      </c>
      <c r="AW11" s="30" t="s">
        <v>8</v>
      </c>
      <c r="AX11" s="35">
        <f t="shared" si="48"/>
        <v>0.50019638027568947</v>
      </c>
      <c r="AY11" s="33">
        <f t="shared" si="49"/>
        <v>4.2895849399727903E-2</v>
      </c>
      <c r="AZ11" s="53">
        <f t="shared" si="50"/>
        <v>334887.56974888226</v>
      </c>
      <c r="BA11" s="80">
        <f t="shared" si="51"/>
        <v>0</v>
      </c>
      <c r="BB11" s="76" t="s">
        <v>8</v>
      </c>
      <c r="BC11" s="30" t="s">
        <v>8</v>
      </c>
      <c r="BD11" s="35">
        <f t="shared" si="52"/>
        <v>0.50019638027568947</v>
      </c>
      <c r="BE11" s="33">
        <f t="shared" si="53"/>
        <v>4.2895849399727903E-2</v>
      </c>
      <c r="BF11" s="53">
        <f t="shared" si="54"/>
        <v>334887.56974888226</v>
      </c>
      <c r="BG11" s="80">
        <f t="shared" si="55"/>
        <v>0</v>
      </c>
      <c r="BH11" s="76" t="s">
        <v>8</v>
      </c>
      <c r="BI11" s="30" t="s">
        <v>8</v>
      </c>
      <c r="BJ11" s="35">
        <f t="shared" si="56"/>
        <v>0.50019638027568947</v>
      </c>
      <c r="BK11" s="33">
        <f t="shared" si="57"/>
        <v>4.2895849399727903E-2</v>
      </c>
      <c r="BL11" s="53">
        <f t="shared" si="58"/>
        <v>334887.56974888226</v>
      </c>
      <c r="BM11" s="80">
        <f t="shared" si="59"/>
        <v>0</v>
      </c>
      <c r="BN11" s="76" t="s">
        <v>8</v>
      </c>
      <c r="BO11" s="30" t="s">
        <v>8</v>
      </c>
      <c r="BP11" s="35">
        <f t="shared" si="60"/>
        <v>0.50019638027568947</v>
      </c>
      <c r="BQ11" s="33">
        <f t="shared" si="61"/>
        <v>4.2895849399727903E-2</v>
      </c>
      <c r="BR11" s="53">
        <f t="shared" si="62"/>
        <v>334887.56974888226</v>
      </c>
      <c r="BS11" s="128">
        <f t="shared" si="63"/>
        <v>0</v>
      </c>
      <c r="BT11" s="76" t="s">
        <v>8</v>
      </c>
      <c r="BU11" s="30" t="s">
        <v>8</v>
      </c>
      <c r="BV11" s="35">
        <f t="shared" si="64"/>
        <v>0.50019638027568947</v>
      </c>
      <c r="BW11" s="33">
        <f t="shared" si="65"/>
        <v>4.2895849399727903E-2</v>
      </c>
      <c r="BX11" s="53">
        <f t="shared" si="66"/>
        <v>334887.56974888226</v>
      </c>
      <c r="BY11" s="128">
        <f t="shared" si="67"/>
        <v>0</v>
      </c>
      <c r="BZ11" s="76" t="s">
        <v>8</v>
      </c>
      <c r="CA11" s="30" t="s">
        <v>8</v>
      </c>
      <c r="CB11" s="35">
        <f t="shared" si="68"/>
        <v>0.50019638027568947</v>
      </c>
      <c r="CC11" s="33">
        <f t="shared" si="69"/>
        <v>4.2895849399727903E-2</v>
      </c>
      <c r="CD11" s="53">
        <f t="shared" si="70"/>
        <v>334887.56974888226</v>
      </c>
      <c r="CE11" s="128">
        <f t="shared" si="71"/>
        <v>0</v>
      </c>
      <c r="CF11" s="76" t="s">
        <v>8</v>
      </c>
      <c r="CG11" s="30" t="s">
        <v>8</v>
      </c>
      <c r="CH11" s="35">
        <f t="shared" si="72"/>
        <v>0.50019638027568947</v>
      </c>
      <c r="CI11" s="33">
        <f t="shared" si="73"/>
        <v>4.2895849399727903E-2</v>
      </c>
      <c r="CJ11" s="53">
        <f t="shared" si="74"/>
        <v>334887.56974888226</v>
      </c>
      <c r="CK11" s="128">
        <f t="shared" si="75"/>
        <v>0</v>
      </c>
      <c r="CL11" s="76" t="s">
        <v>8</v>
      </c>
      <c r="CM11" s="30" t="s">
        <v>8</v>
      </c>
      <c r="CN11" s="35">
        <f t="shared" si="76"/>
        <v>0.50019638027568947</v>
      </c>
      <c r="CO11" s="33">
        <f t="shared" si="77"/>
        <v>4.2895849399727903E-2</v>
      </c>
      <c r="CP11" s="53">
        <f t="shared" si="78"/>
        <v>334887.56974888226</v>
      </c>
      <c r="CQ11" s="128">
        <f t="shared" si="79"/>
        <v>0</v>
      </c>
      <c r="CR11" s="76" t="s">
        <v>8</v>
      </c>
      <c r="CS11" s="30" t="s">
        <v>8</v>
      </c>
      <c r="CT11" s="35">
        <f t="shared" si="80"/>
        <v>0.50019638027568947</v>
      </c>
      <c r="CU11" s="33">
        <f t="shared" si="81"/>
        <v>4.2895849399727903E-2</v>
      </c>
      <c r="CV11" s="53">
        <f t="shared" si="82"/>
        <v>334887.56974888226</v>
      </c>
      <c r="CW11" s="128">
        <f t="shared" si="83"/>
        <v>0</v>
      </c>
      <c r="CX11" s="76" t="s">
        <v>8</v>
      </c>
      <c r="CY11" s="30" t="s">
        <v>8</v>
      </c>
      <c r="CZ11" s="35">
        <f t="shared" si="84"/>
        <v>0.50019638027568947</v>
      </c>
      <c r="DA11" s="33">
        <f t="shared" si="85"/>
        <v>4.2895849399727903E-2</v>
      </c>
      <c r="DB11" s="53">
        <f t="shared" si="86"/>
        <v>334887.56974888226</v>
      </c>
      <c r="DC11" s="128">
        <f t="shared" si="87"/>
        <v>0</v>
      </c>
      <c r="DD11" s="76" t="s">
        <v>8</v>
      </c>
      <c r="DE11" s="30" t="s">
        <v>8</v>
      </c>
      <c r="DF11" s="35">
        <f t="shared" si="88"/>
        <v>0.50019638027568947</v>
      </c>
      <c r="DG11" s="33">
        <f t="shared" si="89"/>
        <v>4.2895849399727903E-2</v>
      </c>
      <c r="DH11" s="53">
        <f t="shared" si="90"/>
        <v>334887.56974888226</v>
      </c>
      <c r="DI11" s="128">
        <f t="shared" si="91"/>
        <v>0</v>
      </c>
      <c r="DJ11" s="76" t="s">
        <v>8</v>
      </c>
      <c r="DK11" s="30" t="s">
        <v>8</v>
      </c>
      <c r="DL11" s="35">
        <f t="shared" si="92"/>
        <v>0.50019638027568947</v>
      </c>
      <c r="DM11" s="33">
        <f t="shared" si="93"/>
        <v>4.2895849399727903E-2</v>
      </c>
      <c r="DN11" s="53">
        <f t="shared" si="94"/>
        <v>334887.56974888226</v>
      </c>
      <c r="DO11" s="128">
        <f t="shared" si="95"/>
        <v>0</v>
      </c>
      <c r="DP11" s="76" t="s">
        <v>8</v>
      </c>
      <c r="DQ11" s="30" t="s">
        <v>8</v>
      </c>
      <c r="DR11" s="35">
        <f t="shared" si="96"/>
        <v>0.50019638027568947</v>
      </c>
      <c r="DS11" s="33">
        <f t="shared" si="97"/>
        <v>4.2895849399727903E-2</v>
      </c>
      <c r="DT11" s="53">
        <f t="shared" si="98"/>
        <v>334887.56974888226</v>
      </c>
      <c r="DU11" s="128">
        <f t="shared" si="99"/>
        <v>0</v>
      </c>
      <c r="DV11" s="76" t="s">
        <v>8</v>
      </c>
      <c r="DW11" s="30" t="s">
        <v>8</v>
      </c>
      <c r="DX11" s="35">
        <f t="shared" si="100"/>
        <v>0.50019638027568947</v>
      </c>
      <c r="DY11" s="33">
        <f t="shared" si="101"/>
        <v>4.2895849399727903E-2</v>
      </c>
      <c r="DZ11" s="34">
        <f t="shared" si="102"/>
        <v>334887.56974888226</v>
      </c>
      <c r="EA11" s="80">
        <f t="shared" si="103"/>
        <v>0</v>
      </c>
      <c r="EB11" s="76" t="s">
        <v>8</v>
      </c>
      <c r="EC11" s="30" t="s">
        <v>8</v>
      </c>
      <c r="ED11" s="35">
        <f t="shared" si="104"/>
        <v>0.50019638027568947</v>
      </c>
      <c r="EE11" s="33">
        <f t="shared" si="105"/>
        <v>4.2895849399727903E-2</v>
      </c>
      <c r="EF11" s="34">
        <f t="shared" si="106"/>
        <v>334887.56974888226</v>
      </c>
      <c r="EG11" s="80">
        <f t="shared" si="107"/>
        <v>0</v>
      </c>
      <c r="EH11" s="76" t="s">
        <v>8</v>
      </c>
      <c r="EI11" s="30" t="s">
        <v>8</v>
      </c>
      <c r="EJ11" s="35">
        <f t="shared" si="108"/>
        <v>0.50019638027568947</v>
      </c>
      <c r="EK11" s="33">
        <f t="shared" si="109"/>
        <v>4.2895849399727903E-2</v>
      </c>
      <c r="EL11" s="34">
        <f t="shared" si="110"/>
        <v>334887.56974888226</v>
      </c>
      <c r="EM11" s="80">
        <f t="shared" si="111"/>
        <v>0</v>
      </c>
      <c r="EN11" s="76" t="s">
        <v>8</v>
      </c>
      <c r="EO11" s="30" t="s">
        <v>8</v>
      </c>
      <c r="EP11" s="35">
        <f t="shared" si="112"/>
        <v>0.50019638027568947</v>
      </c>
      <c r="EQ11" s="33">
        <f t="shared" si="113"/>
        <v>4.2895849399727903E-2</v>
      </c>
      <c r="ER11" s="34">
        <f t="shared" si="114"/>
        <v>334887.56974888226</v>
      </c>
      <c r="ES11" s="80">
        <f t="shared" si="115"/>
        <v>0</v>
      </c>
      <c r="ET11" s="76" t="s">
        <v>8</v>
      </c>
      <c r="EU11" s="30" t="s">
        <v>8</v>
      </c>
      <c r="EV11" s="35">
        <f t="shared" si="116"/>
        <v>0.50019638027568947</v>
      </c>
      <c r="EW11" s="33">
        <f t="shared" si="117"/>
        <v>4.2895849399727903E-2</v>
      </c>
      <c r="EX11" s="34">
        <f t="shared" si="118"/>
        <v>334887.56974888226</v>
      </c>
      <c r="EY11" s="80">
        <f t="shared" si="119"/>
        <v>0</v>
      </c>
      <c r="EZ11" s="76" t="s">
        <v>8</v>
      </c>
      <c r="FA11" s="30" t="s">
        <v>8</v>
      </c>
      <c r="FB11" s="35">
        <f t="shared" si="120"/>
        <v>0.50019638027568947</v>
      </c>
      <c r="FC11" s="33">
        <f t="shared" si="121"/>
        <v>4.2895849399727903E-2</v>
      </c>
      <c r="FD11" s="34">
        <f t="shared" si="122"/>
        <v>334887.56974888226</v>
      </c>
      <c r="FE11" s="80">
        <f t="shared" si="123"/>
        <v>0</v>
      </c>
      <c r="FF11" s="76" t="s">
        <v>8</v>
      </c>
      <c r="FG11" s="30" t="s">
        <v>8</v>
      </c>
      <c r="FH11" s="35">
        <f t="shared" si="124"/>
        <v>0.50019638027568947</v>
      </c>
      <c r="FI11" s="33">
        <f t="shared" si="125"/>
        <v>4.2895849399727903E-2</v>
      </c>
      <c r="FJ11" s="34">
        <f t="shared" si="126"/>
        <v>334887.56974888226</v>
      </c>
      <c r="FK11" s="80">
        <f t="shared" si="127"/>
        <v>0</v>
      </c>
      <c r="FL11" s="76" t="s">
        <v>8</v>
      </c>
      <c r="FM11" s="30" t="s">
        <v>8</v>
      </c>
      <c r="FN11" s="35">
        <f t="shared" si="128"/>
        <v>0.50019638027568947</v>
      </c>
      <c r="FO11" s="33">
        <f t="shared" si="129"/>
        <v>4.2895849399727903E-2</v>
      </c>
      <c r="FP11" s="34">
        <f t="shared" si="130"/>
        <v>334887.56974888226</v>
      </c>
      <c r="FQ11" s="80">
        <f t="shared" si="131"/>
        <v>0</v>
      </c>
      <c r="FR11" s="76" t="s">
        <v>8</v>
      </c>
      <c r="FS11" s="30" t="s">
        <v>8</v>
      </c>
      <c r="FT11" s="35">
        <f t="shared" si="132"/>
        <v>0.50019638027568947</v>
      </c>
      <c r="FU11" s="33">
        <f t="shared" si="133"/>
        <v>4.2895849399727903E-2</v>
      </c>
      <c r="FV11" s="34">
        <f t="shared" si="134"/>
        <v>334887.56974888226</v>
      </c>
      <c r="FW11" s="80">
        <f t="shared" si="135"/>
        <v>0</v>
      </c>
      <c r="FX11" s="76" t="s">
        <v>8</v>
      </c>
      <c r="FY11" s="30" t="s">
        <v>8</v>
      </c>
      <c r="FZ11" s="35">
        <f t="shared" si="136"/>
        <v>0.50019638027568947</v>
      </c>
      <c r="GA11" s="33">
        <f t="shared" si="137"/>
        <v>4.2895849399727903E-2</v>
      </c>
      <c r="GB11" s="34">
        <f t="shared" si="138"/>
        <v>334887.56974888226</v>
      </c>
      <c r="GC11" s="80">
        <f t="shared" si="139"/>
        <v>0</v>
      </c>
      <c r="GD11" s="76" t="s">
        <v>8</v>
      </c>
      <c r="GE11" s="30" t="s">
        <v>8</v>
      </c>
      <c r="GF11" s="35">
        <f t="shared" si="140"/>
        <v>0.50019638027568947</v>
      </c>
      <c r="GG11" s="33">
        <f t="shared" si="141"/>
        <v>4.2895849399727903E-2</v>
      </c>
      <c r="GH11" s="34">
        <f t="shared" si="142"/>
        <v>334887.56974888226</v>
      </c>
      <c r="GI11" s="128">
        <f t="shared" si="143"/>
        <v>0</v>
      </c>
      <c r="GJ11" s="176">
        <f t="shared" si="146"/>
        <v>1399664.1664750346</v>
      </c>
      <c r="GK11" s="99">
        <f t="shared" si="144"/>
        <v>1499749.4548844676</v>
      </c>
      <c r="GL11" s="217">
        <f t="shared" si="145"/>
        <v>0.50019638027568947</v>
      </c>
      <c r="GM11" s="231">
        <f>ROUNDUP(GK11,2)</f>
        <v>1499749.46</v>
      </c>
      <c r="GN11" s="233"/>
    </row>
    <row r="12" spans="1:196" ht="15.75" x14ac:dyDescent="0.25">
      <c r="A12" s="161" t="s">
        <v>177</v>
      </c>
      <c r="B12" s="164" t="s">
        <v>8</v>
      </c>
      <c r="C12" s="164" t="s">
        <v>8</v>
      </c>
      <c r="D12" s="164" t="s">
        <v>8</v>
      </c>
      <c r="E12" s="164" t="s">
        <v>8</v>
      </c>
      <c r="F12" s="164" t="s">
        <v>8</v>
      </c>
      <c r="G12" s="108">
        <f>'Исходные данные'!C14</f>
        <v>219</v>
      </c>
      <c r="H12" s="49">
        <f>'Исходные данные'!E14</f>
        <v>55021.84076104113</v>
      </c>
      <c r="I12" s="32">
        <f>'Расчет КРП'!G10</f>
        <v>10.466551206784082</v>
      </c>
      <c r="J12" s="115" t="s">
        <v>8</v>
      </c>
      <c r="K12" s="119">
        <f t="shared" si="22"/>
        <v>1.8456563507231093E-2</v>
      </c>
      <c r="L12" s="77">
        <f t="shared" si="23"/>
        <v>40144.099197190168</v>
      </c>
      <c r="M12" s="73">
        <f t="shared" si="24"/>
        <v>3.1922527314064385E-2</v>
      </c>
      <c r="N12" s="30" t="s">
        <v>8</v>
      </c>
      <c r="O12" s="33">
        <f t="shared" si="25"/>
        <v>0.12240347507511656</v>
      </c>
      <c r="P12" s="34">
        <f t="shared" si="26"/>
        <v>416333.79532990878</v>
      </c>
      <c r="Q12" s="80">
        <f t="shared" si="27"/>
        <v>416333.79532990878</v>
      </c>
      <c r="R12" s="169" t="s">
        <v>8</v>
      </c>
      <c r="S12" s="30" t="s">
        <v>8</v>
      </c>
      <c r="T12" s="35">
        <f t="shared" si="28"/>
        <v>0.17157781742122172</v>
      </c>
      <c r="U12" s="33">
        <f t="shared" si="29"/>
        <v>8.4667942970555937E-2</v>
      </c>
      <c r="V12" s="53">
        <f t="shared" si="30"/>
        <v>369295.76266092365</v>
      </c>
      <c r="W12" s="80">
        <f t="shared" si="31"/>
        <v>369295.76266092365</v>
      </c>
      <c r="X12" s="76" t="s">
        <v>8</v>
      </c>
      <c r="Y12" s="30" t="s">
        <v>8</v>
      </c>
      <c r="Z12" s="35">
        <f t="shared" si="32"/>
        <v>0.29545463801150595</v>
      </c>
      <c r="AA12" s="33">
        <f t="shared" si="33"/>
        <v>7.1605800933833008E-2</v>
      </c>
      <c r="AB12" s="53">
        <f t="shared" si="34"/>
        <v>390723.84532929346</v>
      </c>
      <c r="AC12" s="80">
        <f t="shared" si="35"/>
        <v>390723.84532929346</v>
      </c>
      <c r="AD12" s="76" t="s">
        <v>8</v>
      </c>
      <c r="AE12" s="30" t="s">
        <v>8</v>
      </c>
      <c r="AF12" s="35">
        <f t="shared" si="36"/>
        <v>0.42651930915598313</v>
      </c>
      <c r="AG12" s="33">
        <f t="shared" si="37"/>
        <v>5.2129034440849986E-2</v>
      </c>
      <c r="AH12" s="53">
        <f t="shared" si="38"/>
        <v>341323.60310624511</v>
      </c>
      <c r="AI12" s="80">
        <f t="shared" si="39"/>
        <v>217306.17390855114</v>
      </c>
      <c r="AJ12" s="76" t="s">
        <v>8</v>
      </c>
      <c r="AK12" s="30" t="s">
        <v>8</v>
      </c>
      <c r="AL12" s="35">
        <f t="shared" si="40"/>
        <v>0.49941263921876827</v>
      </c>
      <c r="AM12" s="33">
        <f t="shared" si="41"/>
        <v>4.3679590456649098E-2</v>
      </c>
      <c r="AN12" s="53">
        <f t="shared" si="42"/>
        <v>313744.197824281</v>
      </c>
      <c r="AO12" s="80">
        <f t="shared" si="43"/>
        <v>0</v>
      </c>
      <c r="AP12" s="76" t="s">
        <v>8</v>
      </c>
      <c r="AQ12" s="30" t="s">
        <v>8</v>
      </c>
      <c r="AR12" s="35">
        <f t="shared" si="44"/>
        <v>0.49941263921876827</v>
      </c>
      <c r="AS12" s="33">
        <f t="shared" si="45"/>
        <v>4.3679590456649098E-2</v>
      </c>
      <c r="AT12" s="53">
        <f t="shared" si="46"/>
        <v>313744.197824281</v>
      </c>
      <c r="AU12" s="80">
        <f t="shared" si="47"/>
        <v>0</v>
      </c>
      <c r="AV12" s="76" t="s">
        <v>8</v>
      </c>
      <c r="AW12" s="30" t="s">
        <v>8</v>
      </c>
      <c r="AX12" s="35">
        <f t="shared" si="48"/>
        <v>0.49941263921876827</v>
      </c>
      <c r="AY12" s="33">
        <f t="shared" si="49"/>
        <v>4.3679590456649098E-2</v>
      </c>
      <c r="AZ12" s="53">
        <f t="shared" si="50"/>
        <v>313744.197824281</v>
      </c>
      <c r="BA12" s="80">
        <f t="shared" si="51"/>
        <v>0</v>
      </c>
      <c r="BB12" s="76" t="s">
        <v>8</v>
      </c>
      <c r="BC12" s="30" t="s">
        <v>8</v>
      </c>
      <c r="BD12" s="35">
        <f t="shared" si="52"/>
        <v>0.49941263921876827</v>
      </c>
      <c r="BE12" s="33">
        <f t="shared" si="53"/>
        <v>4.3679590456649098E-2</v>
      </c>
      <c r="BF12" s="53">
        <f t="shared" si="54"/>
        <v>313744.197824281</v>
      </c>
      <c r="BG12" s="80">
        <f t="shared" si="55"/>
        <v>0</v>
      </c>
      <c r="BH12" s="76" t="s">
        <v>8</v>
      </c>
      <c r="BI12" s="30" t="s">
        <v>8</v>
      </c>
      <c r="BJ12" s="35">
        <f t="shared" si="56"/>
        <v>0.49941263921876827</v>
      </c>
      <c r="BK12" s="33">
        <f t="shared" si="57"/>
        <v>4.3679590456649098E-2</v>
      </c>
      <c r="BL12" s="53">
        <f t="shared" si="58"/>
        <v>313744.197824281</v>
      </c>
      <c r="BM12" s="80">
        <f t="shared" si="59"/>
        <v>0</v>
      </c>
      <c r="BN12" s="76" t="s">
        <v>8</v>
      </c>
      <c r="BO12" s="30" t="s">
        <v>8</v>
      </c>
      <c r="BP12" s="35">
        <f t="shared" si="60"/>
        <v>0.49941263921876827</v>
      </c>
      <c r="BQ12" s="33">
        <f t="shared" si="61"/>
        <v>4.3679590456649098E-2</v>
      </c>
      <c r="BR12" s="53">
        <f t="shared" si="62"/>
        <v>313744.197824281</v>
      </c>
      <c r="BS12" s="128">
        <f t="shared" si="63"/>
        <v>0</v>
      </c>
      <c r="BT12" s="76" t="s">
        <v>8</v>
      </c>
      <c r="BU12" s="30" t="s">
        <v>8</v>
      </c>
      <c r="BV12" s="35">
        <f t="shared" si="64"/>
        <v>0.49941263921876827</v>
      </c>
      <c r="BW12" s="33">
        <f t="shared" si="65"/>
        <v>4.3679590456649098E-2</v>
      </c>
      <c r="BX12" s="53">
        <f t="shared" si="66"/>
        <v>313744.197824281</v>
      </c>
      <c r="BY12" s="128">
        <f t="shared" si="67"/>
        <v>0</v>
      </c>
      <c r="BZ12" s="76" t="s">
        <v>8</v>
      </c>
      <c r="CA12" s="30" t="s">
        <v>8</v>
      </c>
      <c r="CB12" s="35">
        <f t="shared" si="68"/>
        <v>0.49941263921876827</v>
      </c>
      <c r="CC12" s="33">
        <f t="shared" si="69"/>
        <v>4.3679590456649098E-2</v>
      </c>
      <c r="CD12" s="53">
        <f t="shared" si="70"/>
        <v>313744.197824281</v>
      </c>
      <c r="CE12" s="128">
        <f t="shared" si="71"/>
        <v>0</v>
      </c>
      <c r="CF12" s="76" t="s">
        <v>8</v>
      </c>
      <c r="CG12" s="30" t="s">
        <v>8</v>
      </c>
      <c r="CH12" s="35">
        <f t="shared" si="72"/>
        <v>0.49941263921876827</v>
      </c>
      <c r="CI12" s="33">
        <f t="shared" si="73"/>
        <v>4.3679590456649098E-2</v>
      </c>
      <c r="CJ12" s="53">
        <f t="shared" si="74"/>
        <v>313744.197824281</v>
      </c>
      <c r="CK12" s="128">
        <f t="shared" si="75"/>
        <v>0</v>
      </c>
      <c r="CL12" s="76" t="s">
        <v>8</v>
      </c>
      <c r="CM12" s="30" t="s">
        <v>8</v>
      </c>
      <c r="CN12" s="35">
        <f t="shared" si="76"/>
        <v>0.49941263921876827</v>
      </c>
      <c r="CO12" s="33">
        <f t="shared" si="77"/>
        <v>4.3679590456649098E-2</v>
      </c>
      <c r="CP12" s="53">
        <f t="shared" si="78"/>
        <v>313744.197824281</v>
      </c>
      <c r="CQ12" s="128">
        <f t="shared" si="79"/>
        <v>0</v>
      </c>
      <c r="CR12" s="76" t="s">
        <v>8</v>
      </c>
      <c r="CS12" s="30" t="s">
        <v>8</v>
      </c>
      <c r="CT12" s="35">
        <f t="shared" si="80"/>
        <v>0.49941263921876827</v>
      </c>
      <c r="CU12" s="33">
        <f t="shared" si="81"/>
        <v>4.3679590456649098E-2</v>
      </c>
      <c r="CV12" s="53">
        <f t="shared" si="82"/>
        <v>313744.197824281</v>
      </c>
      <c r="CW12" s="128">
        <f t="shared" si="83"/>
        <v>0</v>
      </c>
      <c r="CX12" s="76" t="s">
        <v>8</v>
      </c>
      <c r="CY12" s="30" t="s">
        <v>8</v>
      </c>
      <c r="CZ12" s="35">
        <f t="shared" si="84"/>
        <v>0.49941263921876827</v>
      </c>
      <c r="DA12" s="33">
        <f t="shared" si="85"/>
        <v>4.3679590456649098E-2</v>
      </c>
      <c r="DB12" s="53">
        <f t="shared" si="86"/>
        <v>313744.197824281</v>
      </c>
      <c r="DC12" s="128">
        <f t="shared" si="87"/>
        <v>0</v>
      </c>
      <c r="DD12" s="76" t="s">
        <v>8</v>
      </c>
      <c r="DE12" s="30" t="s">
        <v>8</v>
      </c>
      <c r="DF12" s="35">
        <f t="shared" si="88"/>
        <v>0.49941263921876827</v>
      </c>
      <c r="DG12" s="33">
        <f t="shared" si="89"/>
        <v>4.3679590456649098E-2</v>
      </c>
      <c r="DH12" s="53">
        <f t="shared" si="90"/>
        <v>313744.197824281</v>
      </c>
      <c r="DI12" s="128">
        <f t="shared" si="91"/>
        <v>0</v>
      </c>
      <c r="DJ12" s="76" t="s">
        <v>8</v>
      </c>
      <c r="DK12" s="30" t="s">
        <v>8</v>
      </c>
      <c r="DL12" s="35">
        <f t="shared" si="92"/>
        <v>0.49941263921876827</v>
      </c>
      <c r="DM12" s="33">
        <f t="shared" si="93"/>
        <v>4.3679590456649098E-2</v>
      </c>
      <c r="DN12" s="53">
        <f t="shared" si="94"/>
        <v>313744.197824281</v>
      </c>
      <c r="DO12" s="128">
        <f t="shared" si="95"/>
        <v>0</v>
      </c>
      <c r="DP12" s="76" t="s">
        <v>8</v>
      </c>
      <c r="DQ12" s="30" t="s">
        <v>8</v>
      </c>
      <c r="DR12" s="35">
        <f t="shared" si="96"/>
        <v>0.49941263921876827</v>
      </c>
      <c r="DS12" s="33">
        <f t="shared" si="97"/>
        <v>4.3679590456649098E-2</v>
      </c>
      <c r="DT12" s="53">
        <f t="shared" si="98"/>
        <v>313744.197824281</v>
      </c>
      <c r="DU12" s="128">
        <f t="shared" si="99"/>
        <v>0</v>
      </c>
      <c r="DV12" s="76" t="s">
        <v>8</v>
      </c>
      <c r="DW12" s="30" t="s">
        <v>8</v>
      </c>
      <c r="DX12" s="35">
        <f t="shared" si="100"/>
        <v>0.49941263921876827</v>
      </c>
      <c r="DY12" s="33">
        <f t="shared" si="101"/>
        <v>4.3679590456649098E-2</v>
      </c>
      <c r="DZ12" s="34">
        <f t="shared" si="102"/>
        <v>313744.197824281</v>
      </c>
      <c r="EA12" s="80">
        <f t="shared" si="103"/>
        <v>0</v>
      </c>
      <c r="EB12" s="76" t="s">
        <v>8</v>
      </c>
      <c r="EC12" s="30" t="s">
        <v>8</v>
      </c>
      <c r="ED12" s="35">
        <f t="shared" si="104"/>
        <v>0.49941263921876827</v>
      </c>
      <c r="EE12" s="33">
        <f t="shared" si="105"/>
        <v>4.3679590456649098E-2</v>
      </c>
      <c r="EF12" s="34">
        <f t="shared" si="106"/>
        <v>313744.197824281</v>
      </c>
      <c r="EG12" s="80">
        <f t="shared" si="107"/>
        <v>0</v>
      </c>
      <c r="EH12" s="76" t="s">
        <v>8</v>
      </c>
      <c r="EI12" s="30" t="s">
        <v>8</v>
      </c>
      <c r="EJ12" s="35">
        <f t="shared" si="108"/>
        <v>0.49941263921876827</v>
      </c>
      <c r="EK12" s="33">
        <f t="shared" si="109"/>
        <v>4.3679590456649098E-2</v>
      </c>
      <c r="EL12" s="34">
        <f t="shared" si="110"/>
        <v>313744.197824281</v>
      </c>
      <c r="EM12" s="80">
        <f t="shared" si="111"/>
        <v>0</v>
      </c>
      <c r="EN12" s="76" t="s">
        <v>8</v>
      </c>
      <c r="EO12" s="30" t="s">
        <v>8</v>
      </c>
      <c r="EP12" s="35">
        <f t="shared" si="112"/>
        <v>0.49941263921876827</v>
      </c>
      <c r="EQ12" s="33">
        <f t="shared" si="113"/>
        <v>4.3679590456649098E-2</v>
      </c>
      <c r="ER12" s="34">
        <f t="shared" si="114"/>
        <v>313744.197824281</v>
      </c>
      <c r="ES12" s="80">
        <f t="shared" si="115"/>
        <v>0</v>
      </c>
      <c r="ET12" s="76" t="s">
        <v>8</v>
      </c>
      <c r="EU12" s="30" t="s">
        <v>8</v>
      </c>
      <c r="EV12" s="35">
        <f t="shared" si="116"/>
        <v>0.49941263921876827</v>
      </c>
      <c r="EW12" s="33">
        <f t="shared" si="117"/>
        <v>4.3679590456649098E-2</v>
      </c>
      <c r="EX12" s="34">
        <f t="shared" si="118"/>
        <v>313744.197824281</v>
      </c>
      <c r="EY12" s="80">
        <f t="shared" si="119"/>
        <v>0</v>
      </c>
      <c r="EZ12" s="76" t="s">
        <v>8</v>
      </c>
      <c r="FA12" s="30" t="s">
        <v>8</v>
      </c>
      <c r="FB12" s="35">
        <f t="shared" si="120"/>
        <v>0.49941263921876827</v>
      </c>
      <c r="FC12" s="33">
        <f t="shared" si="121"/>
        <v>4.3679590456649098E-2</v>
      </c>
      <c r="FD12" s="34">
        <f t="shared" si="122"/>
        <v>313744.197824281</v>
      </c>
      <c r="FE12" s="80">
        <f t="shared" si="123"/>
        <v>0</v>
      </c>
      <c r="FF12" s="76" t="s">
        <v>8</v>
      </c>
      <c r="FG12" s="30" t="s">
        <v>8</v>
      </c>
      <c r="FH12" s="35">
        <f t="shared" si="124"/>
        <v>0.49941263921876827</v>
      </c>
      <c r="FI12" s="33">
        <f t="shared" si="125"/>
        <v>4.3679590456649098E-2</v>
      </c>
      <c r="FJ12" s="34">
        <f t="shared" si="126"/>
        <v>313744.197824281</v>
      </c>
      <c r="FK12" s="80">
        <f t="shared" si="127"/>
        <v>0</v>
      </c>
      <c r="FL12" s="76" t="s">
        <v>8</v>
      </c>
      <c r="FM12" s="30" t="s">
        <v>8</v>
      </c>
      <c r="FN12" s="35">
        <f t="shared" si="128"/>
        <v>0.49941263921876827</v>
      </c>
      <c r="FO12" s="33">
        <f t="shared" si="129"/>
        <v>4.3679590456649098E-2</v>
      </c>
      <c r="FP12" s="34">
        <f t="shared" si="130"/>
        <v>313744.197824281</v>
      </c>
      <c r="FQ12" s="80">
        <f t="shared" si="131"/>
        <v>0</v>
      </c>
      <c r="FR12" s="76" t="s">
        <v>8</v>
      </c>
      <c r="FS12" s="30" t="s">
        <v>8</v>
      </c>
      <c r="FT12" s="35">
        <f t="shared" si="132"/>
        <v>0.49941263921876827</v>
      </c>
      <c r="FU12" s="33">
        <f t="shared" si="133"/>
        <v>4.3679590456649098E-2</v>
      </c>
      <c r="FV12" s="34">
        <f t="shared" si="134"/>
        <v>313744.197824281</v>
      </c>
      <c r="FW12" s="80">
        <f t="shared" si="135"/>
        <v>0</v>
      </c>
      <c r="FX12" s="76" t="s">
        <v>8</v>
      </c>
      <c r="FY12" s="30" t="s">
        <v>8</v>
      </c>
      <c r="FZ12" s="35">
        <f t="shared" si="136"/>
        <v>0.49941263921876827</v>
      </c>
      <c r="GA12" s="33">
        <f t="shared" si="137"/>
        <v>4.3679590456649098E-2</v>
      </c>
      <c r="GB12" s="34">
        <f t="shared" si="138"/>
        <v>313744.197824281</v>
      </c>
      <c r="GC12" s="80">
        <f t="shared" si="139"/>
        <v>0</v>
      </c>
      <c r="GD12" s="76" t="s">
        <v>8</v>
      </c>
      <c r="GE12" s="30" t="s">
        <v>8</v>
      </c>
      <c r="GF12" s="35">
        <f t="shared" si="140"/>
        <v>0.49941263921876827</v>
      </c>
      <c r="GG12" s="33">
        <f t="shared" si="141"/>
        <v>4.3679590456649098E-2</v>
      </c>
      <c r="GH12" s="34">
        <f t="shared" si="142"/>
        <v>313744.197824281</v>
      </c>
      <c r="GI12" s="128">
        <f t="shared" si="143"/>
        <v>0</v>
      </c>
      <c r="GJ12" s="176">
        <f t="shared" si="146"/>
        <v>1393659.5772286772</v>
      </c>
      <c r="GK12" s="99">
        <f t="shared" si="144"/>
        <v>1433803.6764258675</v>
      </c>
      <c r="GL12" s="217">
        <f t="shared" si="145"/>
        <v>0.49941263921876827</v>
      </c>
      <c r="GM12" s="231">
        <f t="shared" si="147"/>
        <v>1433803.68</v>
      </c>
      <c r="GN12" s="233"/>
    </row>
    <row r="13" spans="1:196" ht="15.75" x14ac:dyDescent="0.25">
      <c r="A13" s="161" t="s">
        <v>178</v>
      </c>
      <c r="B13" s="164" t="s">
        <v>8</v>
      </c>
      <c r="C13" s="164" t="s">
        <v>8</v>
      </c>
      <c r="D13" s="164" t="s">
        <v>8</v>
      </c>
      <c r="E13" s="164" t="s">
        <v>8</v>
      </c>
      <c r="F13" s="164" t="s">
        <v>8</v>
      </c>
      <c r="G13" s="108">
        <f>'Исходные данные'!C15</f>
        <v>200</v>
      </c>
      <c r="H13" s="49">
        <f>'Исходные данные'!E15</f>
        <v>119087.26844987286</v>
      </c>
      <c r="I13" s="32">
        <f>'Расчет КРП'!G11</f>
        <v>10.649657788018432</v>
      </c>
      <c r="J13" s="115" t="s">
        <v>8</v>
      </c>
      <c r="K13" s="119">
        <f t="shared" si="22"/>
        <v>4.2989572727484021E-2</v>
      </c>
      <c r="L13" s="77">
        <f t="shared" si="23"/>
        <v>36661.277805653117</v>
      </c>
      <c r="M13" s="73">
        <f t="shared" si="24"/>
        <v>5.6224007348612513E-2</v>
      </c>
      <c r="N13" s="30" t="s">
        <v>8</v>
      </c>
      <c r="O13" s="33">
        <f t="shared" si="25"/>
        <v>9.8101995040568435E-2</v>
      </c>
      <c r="P13" s="34">
        <f t="shared" si="26"/>
        <v>310058.53315918427</v>
      </c>
      <c r="Q13" s="80">
        <f t="shared" si="27"/>
        <v>310058.53315918427</v>
      </c>
      <c r="R13" s="169" t="s">
        <v>8</v>
      </c>
      <c r="S13" s="30" t="s">
        <v>8</v>
      </c>
      <c r="T13" s="35">
        <f t="shared" si="28"/>
        <v>0.16815271336838686</v>
      </c>
      <c r="U13" s="33">
        <f t="shared" si="29"/>
        <v>8.8093047023390797E-2</v>
      </c>
      <c r="V13" s="53">
        <f t="shared" si="30"/>
        <v>357038.35976966785</v>
      </c>
      <c r="W13" s="80">
        <f t="shared" si="31"/>
        <v>357038.35976966785</v>
      </c>
      <c r="X13" s="76" t="s">
        <v>8</v>
      </c>
      <c r="Y13" s="30" t="s">
        <v>8</v>
      </c>
      <c r="Z13" s="35">
        <f t="shared" si="32"/>
        <v>0.29704076944367191</v>
      </c>
      <c r="AA13" s="33">
        <f t="shared" si="33"/>
        <v>7.0019669501667048E-2</v>
      </c>
      <c r="AB13" s="53">
        <f t="shared" si="34"/>
        <v>355025.62198369124</v>
      </c>
      <c r="AC13" s="80">
        <f t="shared" si="35"/>
        <v>355025.62198369124</v>
      </c>
      <c r="AD13" s="76" t="s">
        <v>8</v>
      </c>
      <c r="AE13" s="30" t="s">
        <v>8</v>
      </c>
      <c r="AF13" s="35">
        <f t="shared" si="36"/>
        <v>0.42520224291648501</v>
      </c>
      <c r="AG13" s="33">
        <f t="shared" si="37"/>
        <v>5.3446100680348108E-2</v>
      </c>
      <c r="AH13" s="53">
        <f t="shared" si="38"/>
        <v>325177.58174895239</v>
      </c>
      <c r="AI13" s="80">
        <f t="shared" si="39"/>
        <v>207026.69105688651</v>
      </c>
      <c r="AJ13" s="76" t="s">
        <v>8</v>
      </c>
      <c r="AK13" s="30" t="s">
        <v>8</v>
      </c>
      <c r="AL13" s="35">
        <f t="shared" si="40"/>
        <v>0.49993725957753671</v>
      </c>
      <c r="AM13" s="33">
        <f t="shared" si="41"/>
        <v>4.3154970097880663E-2</v>
      </c>
      <c r="AN13" s="53">
        <f t="shared" si="42"/>
        <v>288035.41964700154</v>
      </c>
      <c r="AO13" s="80">
        <f t="shared" si="43"/>
        <v>0</v>
      </c>
      <c r="AP13" s="76" t="s">
        <v>8</v>
      </c>
      <c r="AQ13" s="30" t="s">
        <v>8</v>
      </c>
      <c r="AR13" s="35">
        <f t="shared" si="44"/>
        <v>0.49993725957753671</v>
      </c>
      <c r="AS13" s="33">
        <f t="shared" si="45"/>
        <v>4.3154970097880663E-2</v>
      </c>
      <c r="AT13" s="53">
        <f t="shared" si="46"/>
        <v>288035.41964700154</v>
      </c>
      <c r="AU13" s="80">
        <f t="shared" si="47"/>
        <v>0</v>
      </c>
      <c r="AV13" s="76" t="s">
        <v>8</v>
      </c>
      <c r="AW13" s="30" t="s">
        <v>8</v>
      </c>
      <c r="AX13" s="35">
        <f t="shared" si="48"/>
        <v>0.49993725957753671</v>
      </c>
      <c r="AY13" s="33">
        <f t="shared" si="49"/>
        <v>4.3154970097880663E-2</v>
      </c>
      <c r="AZ13" s="53">
        <f t="shared" si="50"/>
        <v>288035.41964700154</v>
      </c>
      <c r="BA13" s="80">
        <f t="shared" si="51"/>
        <v>0</v>
      </c>
      <c r="BB13" s="76" t="s">
        <v>8</v>
      </c>
      <c r="BC13" s="30" t="s">
        <v>8</v>
      </c>
      <c r="BD13" s="35">
        <f t="shared" si="52"/>
        <v>0.49993725957753671</v>
      </c>
      <c r="BE13" s="33">
        <f t="shared" si="53"/>
        <v>4.3154970097880663E-2</v>
      </c>
      <c r="BF13" s="53">
        <f t="shared" si="54"/>
        <v>288035.41964700154</v>
      </c>
      <c r="BG13" s="80">
        <f t="shared" si="55"/>
        <v>0</v>
      </c>
      <c r="BH13" s="76" t="s">
        <v>8</v>
      </c>
      <c r="BI13" s="30" t="s">
        <v>8</v>
      </c>
      <c r="BJ13" s="35">
        <f t="shared" si="56"/>
        <v>0.49993725957753671</v>
      </c>
      <c r="BK13" s="33">
        <f t="shared" si="57"/>
        <v>4.3154970097880663E-2</v>
      </c>
      <c r="BL13" s="53">
        <f t="shared" si="58"/>
        <v>288035.41964700154</v>
      </c>
      <c r="BM13" s="80">
        <f t="shared" si="59"/>
        <v>0</v>
      </c>
      <c r="BN13" s="76" t="s">
        <v>8</v>
      </c>
      <c r="BO13" s="30" t="s">
        <v>8</v>
      </c>
      <c r="BP13" s="35">
        <f t="shared" si="60"/>
        <v>0.49993725957753671</v>
      </c>
      <c r="BQ13" s="33">
        <f t="shared" si="61"/>
        <v>4.3154970097880663E-2</v>
      </c>
      <c r="BR13" s="53">
        <f t="shared" si="62"/>
        <v>288035.41964700154</v>
      </c>
      <c r="BS13" s="128">
        <f t="shared" si="63"/>
        <v>0</v>
      </c>
      <c r="BT13" s="76" t="s">
        <v>8</v>
      </c>
      <c r="BU13" s="30" t="s">
        <v>8</v>
      </c>
      <c r="BV13" s="35">
        <f t="shared" si="64"/>
        <v>0.49993725957753671</v>
      </c>
      <c r="BW13" s="33">
        <f t="shared" si="65"/>
        <v>4.3154970097880663E-2</v>
      </c>
      <c r="BX13" s="53">
        <f t="shared" si="66"/>
        <v>288035.41964700154</v>
      </c>
      <c r="BY13" s="128">
        <f t="shared" si="67"/>
        <v>0</v>
      </c>
      <c r="BZ13" s="76" t="s">
        <v>8</v>
      </c>
      <c r="CA13" s="30" t="s">
        <v>8</v>
      </c>
      <c r="CB13" s="35">
        <f t="shared" si="68"/>
        <v>0.49993725957753671</v>
      </c>
      <c r="CC13" s="33">
        <f t="shared" si="69"/>
        <v>4.3154970097880663E-2</v>
      </c>
      <c r="CD13" s="53">
        <f t="shared" si="70"/>
        <v>288035.41964700154</v>
      </c>
      <c r="CE13" s="128">
        <f t="shared" si="71"/>
        <v>0</v>
      </c>
      <c r="CF13" s="76" t="s">
        <v>8</v>
      </c>
      <c r="CG13" s="30" t="s">
        <v>8</v>
      </c>
      <c r="CH13" s="35">
        <f t="shared" si="72"/>
        <v>0.49993725957753671</v>
      </c>
      <c r="CI13" s="33">
        <f t="shared" si="73"/>
        <v>4.3154970097880663E-2</v>
      </c>
      <c r="CJ13" s="53">
        <f t="shared" si="74"/>
        <v>288035.41964700154</v>
      </c>
      <c r="CK13" s="128">
        <f t="shared" si="75"/>
        <v>0</v>
      </c>
      <c r="CL13" s="76" t="s">
        <v>8</v>
      </c>
      <c r="CM13" s="30" t="s">
        <v>8</v>
      </c>
      <c r="CN13" s="35">
        <f t="shared" si="76"/>
        <v>0.49993725957753671</v>
      </c>
      <c r="CO13" s="33">
        <f t="shared" si="77"/>
        <v>4.3154970097880663E-2</v>
      </c>
      <c r="CP13" s="53">
        <f t="shared" si="78"/>
        <v>288035.41964700154</v>
      </c>
      <c r="CQ13" s="128">
        <f t="shared" si="79"/>
        <v>0</v>
      </c>
      <c r="CR13" s="76" t="s">
        <v>8</v>
      </c>
      <c r="CS13" s="30" t="s">
        <v>8</v>
      </c>
      <c r="CT13" s="35">
        <f t="shared" si="80"/>
        <v>0.49993725957753671</v>
      </c>
      <c r="CU13" s="33">
        <f t="shared" si="81"/>
        <v>4.3154970097880663E-2</v>
      </c>
      <c r="CV13" s="53">
        <f t="shared" si="82"/>
        <v>288035.41964700154</v>
      </c>
      <c r="CW13" s="128">
        <f t="shared" si="83"/>
        <v>0</v>
      </c>
      <c r="CX13" s="76" t="s">
        <v>8</v>
      </c>
      <c r="CY13" s="30" t="s">
        <v>8</v>
      </c>
      <c r="CZ13" s="35">
        <f t="shared" si="84"/>
        <v>0.49993725957753671</v>
      </c>
      <c r="DA13" s="33">
        <f t="shared" si="85"/>
        <v>4.3154970097880663E-2</v>
      </c>
      <c r="DB13" s="53">
        <f t="shared" si="86"/>
        <v>288035.41964700154</v>
      </c>
      <c r="DC13" s="128">
        <f t="shared" si="87"/>
        <v>0</v>
      </c>
      <c r="DD13" s="76" t="s">
        <v>8</v>
      </c>
      <c r="DE13" s="30" t="s">
        <v>8</v>
      </c>
      <c r="DF13" s="35">
        <f t="shared" si="88"/>
        <v>0.49993725957753671</v>
      </c>
      <c r="DG13" s="33">
        <f t="shared" si="89"/>
        <v>4.3154970097880663E-2</v>
      </c>
      <c r="DH13" s="53">
        <f t="shared" si="90"/>
        <v>288035.41964700154</v>
      </c>
      <c r="DI13" s="128">
        <f t="shared" si="91"/>
        <v>0</v>
      </c>
      <c r="DJ13" s="76" t="s">
        <v>8</v>
      </c>
      <c r="DK13" s="30" t="s">
        <v>8</v>
      </c>
      <c r="DL13" s="35">
        <f t="shared" si="92"/>
        <v>0.49993725957753671</v>
      </c>
      <c r="DM13" s="33">
        <f t="shared" si="93"/>
        <v>4.3154970097880663E-2</v>
      </c>
      <c r="DN13" s="53">
        <f t="shared" si="94"/>
        <v>288035.41964700154</v>
      </c>
      <c r="DO13" s="128">
        <f t="shared" si="95"/>
        <v>0</v>
      </c>
      <c r="DP13" s="76" t="s">
        <v>8</v>
      </c>
      <c r="DQ13" s="30" t="s">
        <v>8</v>
      </c>
      <c r="DR13" s="35">
        <f t="shared" si="96"/>
        <v>0.49993725957753671</v>
      </c>
      <c r="DS13" s="33">
        <f t="shared" si="97"/>
        <v>4.3154970097880663E-2</v>
      </c>
      <c r="DT13" s="53">
        <f t="shared" si="98"/>
        <v>288035.41964700154</v>
      </c>
      <c r="DU13" s="128">
        <f t="shared" si="99"/>
        <v>0</v>
      </c>
      <c r="DV13" s="76" t="s">
        <v>8</v>
      </c>
      <c r="DW13" s="30" t="s">
        <v>8</v>
      </c>
      <c r="DX13" s="35">
        <f t="shared" si="100"/>
        <v>0.49993725957753671</v>
      </c>
      <c r="DY13" s="33">
        <f t="shared" si="101"/>
        <v>4.3154970097880663E-2</v>
      </c>
      <c r="DZ13" s="34">
        <f t="shared" si="102"/>
        <v>288035.41964700154</v>
      </c>
      <c r="EA13" s="80">
        <f t="shared" si="103"/>
        <v>0</v>
      </c>
      <c r="EB13" s="76" t="s">
        <v>8</v>
      </c>
      <c r="EC13" s="30" t="s">
        <v>8</v>
      </c>
      <c r="ED13" s="35">
        <f t="shared" si="104"/>
        <v>0.49993725957753671</v>
      </c>
      <c r="EE13" s="33">
        <f t="shared" si="105"/>
        <v>4.3154970097880663E-2</v>
      </c>
      <c r="EF13" s="34">
        <f t="shared" si="106"/>
        <v>288035.41964700154</v>
      </c>
      <c r="EG13" s="80">
        <f t="shared" si="107"/>
        <v>0</v>
      </c>
      <c r="EH13" s="76" t="s">
        <v>8</v>
      </c>
      <c r="EI13" s="30" t="s">
        <v>8</v>
      </c>
      <c r="EJ13" s="35">
        <f t="shared" si="108"/>
        <v>0.49993725957753671</v>
      </c>
      <c r="EK13" s="33">
        <f t="shared" si="109"/>
        <v>4.3154970097880663E-2</v>
      </c>
      <c r="EL13" s="34">
        <f t="shared" si="110"/>
        <v>288035.41964700154</v>
      </c>
      <c r="EM13" s="80">
        <f t="shared" si="111"/>
        <v>0</v>
      </c>
      <c r="EN13" s="76" t="s">
        <v>8</v>
      </c>
      <c r="EO13" s="30" t="s">
        <v>8</v>
      </c>
      <c r="EP13" s="35">
        <f t="shared" si="112"/>
        <v>0.49993725957753671</v>
      </c>
      <c r="EQ13" s="33">
        <f t="shared" si="113"/>
        <v>4.3154970097880663E-2</v>
      </c>
      <c r="ER13" s="34">
        <f t="shared" si="114"/>
        <v>288035.41964700154</v>
      </c>
      <c r="ES13" s="80">
        <f t="shared" si="115"/>
        <v>0</v>
      </c>
      <c r="ET13" s="76" t="s">
        <v>8</v>
      </c>
      <c r="EU13" s="30" t="s">
        <v>8</v>
      </c>
      <c r="EV13" s="35">
        <f t="shared" si="116"/>
        <v>0.49993725957753671</v>
      </c>
      <c r="EW13" s="33">
        <f t="shared" si="117"/>
        <v>4.3154970097880663E-2</v>
      </c>
      <c r="EX13" s="34">
        <f t="shared" si="118"/>
        <v>288035.41964700154</v>
      </c>
      <c r="EY13" s="80">
        <f t="shared" si="119"/>
        <v>0</v>
      </c>
      <c r="EZ13" s="76" t="s">
        <v>8</v>
      </c>
      <c r="FA13" s="30" t="s">
        <v>8</v>
      </c>
      <c r="FB13" s="35">
        <f t="shared" si="120"/>
        <v>0.49993725957753671</v>
      </c>
      <c r="FC13" s="33">
        <f t="shared" si="121"/>
        <v>4.3154970097880663E-2</v>
      </c>
      <c r="FD13" s="34">
        <f t="shared" si="122"/>
        <v>288035.41964700154</v>
      </c>
      <c r="FE13" s="80">
        <f t="shared" si="123"/>
        <v>0</v>
      </c>
      <c r="FF13" s="76" t="s">
        <v>8</v>
      </c>
      <c r="FG13" s="30" t="s">
        <v>8</v>
      </c>
      <c r="FH13" s="35">
        <f t="shared" si="124"/>
        <v>0.49993725957753671</v>
      </c>
      <c r="FI13" s="33">
        <f t="shared" si="125"/>
        <v>4.3154970097880663E-2</v>
      </c>
      <c r="FJ13" s="34">
        <f t="shared" si="126"/>
        <v>288035.41964700154</v>
      </c>
      <c r="FK13" s="80">
        <f t="shared" si="127"/>
        <v>0</v>
      </c>
      <c r="FL13" s="76" t="s">
        <v>8</v>
      </c>
      <c r="FM13" s="30" t="s">
        <v>8</v>
      </c>
      <c r="FN13" s="35">
        <f t="shared" si="128"/>
        <v>0.49993725957753671</v>
      </c>
      <c r="FO13" s="33">
        <f t="shared" si="129"/>
        <v>4.3154970097880663E-2</v>
      </c>
      <c r="FP13" s="34">
        <f t="shared" si="130"/>
        <v>288035.41964700154</v>
      </c>
      <c r="FQ13" s="80">
        <f t="shared" si="131"/>
        <v>0</v>
      </c>
      <c r="FR13" s="76" t="s">
        <v>8</v>
      </c>
      <c r="FS13" s="30" t="s">
        <v>8</v>
      </c>
      <c r="FT13" s="35">
        <f t="shared" si="132"/>
        <v>0.49993725957753671</v>
      </c>
      <c r="FU13" s="33">
        <f t="shared" si="133"/>
        <v>4.3154970097880663E-2</v>
      </c>
      <c r="FV13" s="34">
        <f t="shared" si="134"/>
        <v>288035.41964700154</v>
      </c>
      <c r="FW13" s="80">
        <f t="shared" si="135"/>
        <v>0</v>
      </c>
      <c r="FX13" s="76" t="s">
        <v>8</v>
      </c>
      <c r="FY13" s="30" t="s">
        <v>8</v>
      </c>
      <c r="FZ13" s="35">
        <f t="shared" si="136"/>
        <v>0.49993725957753671</v>
      </c>
      <c r="GA13" s="33">
        <f t="shared" si="137"/>
        <v>4.3154970097880663E-2</v>
      </c>
      <c r="GB13" s="34">
        <f t="shared" si="138"/>
        <v>288035.41964700154</v>
      </c>
      <c r="GC13" s="80">
        <f t="shared" si="139"/>
        <v>0</v>
      </c>
      <c r="GD13" s="76" t="s">
        <v>8</v>
      </c>
      <c r="GE13" s="30" t="s">
        <v>8</v>
      </c>
      <c r="GF13" s="35">
        <f t="shared" si="140"/>
        <v>0.49993725957753671</v>
      </c>
      <c r="GG13" s="33">
        <f t="shared" si="141"/>
        <v>4.3154970097880663E-2</v>
      </c>
      <c r="GH13" s="34">
        <f t="shared" si="142"/>
        <v>288035.41964700154</v>
      </c>
      <c r="GI13" s="128">
        <f t="shared" si="143"/>
        <v>0</v>
      </c>
      <c r="GJ13" s="176">
        <f t="shared" si="146"/>
        <v>1229149.2059694298</v>
      </c>
      <c r="GK13" s="99">
        <f t="shared" si="144"/>
        <v>1265810.483775083</v>
      </c>
      <c r="GL13" s="217">
        <f t="shared" si="145"/>
        <v>0.49993725957753665</v>
      </c>
      <c r="GM13" s="231">
        <f t="shared" si="147"/>
        <v>1265810.48</v>
      </c>
      <c r="GN13" s="233"/>
    </row>
    <row r="14" spans="1:196" ht="15.75" x14ac:dyDescent="0.25">
      <c r="A14" s="161" t="s">
        <v>179</v>
      </c>
      <c r="B14" s="164" t="s">
        <v>8</v>
      </c>
      <c r="C14" s="164" t="s">
        <v>8</v>
      </c>
      <c r="D14" s="164" t="s">
        <v>8</v>
      </c>
      <c r="E14" s="164" t="s">
        <v>8</v>
      </c>
      <c r="F14" s="164" t="s">
        <v>8</v>
      </c>
      <c r="G14" s="108">
        <f>'Исходные данные'!C16</f>
        <v>77</v>
      </c>
      <c r="H14" s="49">
        <f>'Исходные данные'!E16</f>
        <v>47086.580121140796</v>
      </c>
      <c r="I14" s="32">
        <f>'Расчет КРП'!G12</f>
        <v>24.37832677000419</v>
      </c>
      <c r="J14" s="115" t="s">
        <v>8</v>
      </c>
      <c r="K14" s="119">
        <f t="shared" si="22"/>
        <v>1.9287057392498589E-2</v>
      </c>
      <c r="L14" s="77">
        <f t="shared" si="23"/>
        <v>14114.591955176451</v>
      </c>
      <c r="M14" s="73">
        <f t="shared" si="24"/>
        <v>2.506851241452009E-2</v>
      </c>
      <c r="N14" s="30" t="s">
        <v>8</v>
      </c>
      <c r="O14" s="33">
        <f t="shared" si="25"/>
        <v>0.12925748997466086</v>
      </c>
      <c r="P14" s="34">
        <f t="shared" si="26"/>
        <v>360039.82165527489</v>
      </c>
      <c r="Q14" s="80">
        <f t="shared" si="27"/>
        <v>360039.82165527489</v>
      </c>
      <c r="R14" s="169" t="s">
        <v>8</v>
      </c>
      <c r="S14" s="30" t="s">
        <v>8</v>
      </c>
      <c r="T14" s="35">
        <f t="shared" si="28"/>
        <v>0.17254383735816572</v>
      </c>
      <c r="U14" s="33">
        <f t="shared" si="29"/>
        <v>8.370192303361193E-2</v>
      </c>
      <c r="V14" s="53">
        <f t="shared" si="30"/>
        <v>298976.91323912429</v>
      </c>
      <c r="W14" s="80">
        <f t="shared" si="31"/>
        <v>298976.91323912429</v>
      </c>
      <c r="X14" s="76" t="s">
        <v>8</v>
      </c>
      <c r="Y14" s="30" t="s">
        <v>8</v>
      </c>
      <c r="Z14" s="35">
        <f t="shared" si="32"/>
        <v>0.29500728383993907</v>
      </c>
      <c r="AA14" s="33">
        <f t="shared" si="33"/>
        <v>7.2053155105399891E-2</v>
      </c>
      <c r="AB14" s="53">
        <f t="shared" si="34"/>
        <v>321974.6013661602</v>
      </c>
      <c r="AC14" s="80">
        <f t="shared" si="35"/>
        <v>321974.6013661602</v>
      </c>
      <c r="AD14" s="76" t="s">
        <v>8</v>
      </c>
      <c r="AE14" s="30" t="s">
        <v>8</v>
      </c>
      <c r="AF14" s="35">
        <f t="shared" si="36"/>
        <v>0.42689077589860031</v>
      </c>
      <c r="AG14" s="33">
        <f t="shared" si="37"/>
        <v>5.1757567698232809E-2</v>
      </c>
      <c r="AH14" s="53">
        <f t="shared" si="38"/>
        <v>277528.38054583396</v>
      </c>
      <c r="AI14" s="80">
        <f t="shared" si="39"/>
        <v>176690.47782985886</v>
      </c>
      <c r="AJ14" s="76" t="s">
        <v>8</v>
      </c>
      <c r="AK14" s="30" t="s">
        <v>8</v>
      </c>
      <c r="AL14" s="35">
        <f t="shared" si="40"/>
        <v>0.49926467474292185</v>
      </c>
      <c r="AM14" s="33">
        <f t="shared" si="41"/>
        <v>4.3827554932495516E-2</v>
      </c>
      <c r="AN14" s="53">
        <f t="shared" si="42"/>
        <v>257804.97262271887</v>
      </c>
      <c r="AO14" s="80">
        <f t="shared" si="43"/>
        <v>0</v>
      </c>
      <c r="AP14" s="76" t="s">
        <v>8</v>
      </c>
      <c r="AQ14" s="30" t="s">
        <v>8</v>
      </c>
      <c r="AR14" s="35">
        <f t="shared" si="44"/>
        <v>0.49926467474292185</v>
      </c>
      <c r="AS14" s="33">
        <f t="shared" si="45"/>
        <v>4.3827554932495516E-2</v>
      </c>
      <c r="AT14" s="53">
        <f t="shared" si="46"/>
        <v>257804.97262271887</v>
      </c>
      <c r="AU14" s="80">
        <f t="shared" si="47"/>
        <v>0</v>
      </c>
      <c r="AV14" s="76" t="s">
        <v>8</v>
      </c>
      <c r="AW14" s="30" t="s">
        <v>8</v>
      </c>
      <c r="AX14" s="35">
        <f t="shared" si="48"/>
        <v>0.49926467474292185</v>
      </c>
      <c r="AY14" s="33">
        <f t="shared" si="49"/>
        <v>4.3827554932495516E-2</v>
      </c>
      <c r="AZ14" s="53">
        <f t="shared" si="50"/>
        <v>257804.97262271887</v>
      </c>
      <c r="BA14" s="80">
        <f t="shared" si="51"/>
        <v>0</v>
      </c>
      <c r="BB14" s="76" t="s">
        <v>8</v>
      </c>
      <c r="BC14" s="30" t="s">
        <v>8</v>
      </c>
      <c r="BD14" s="35">
        <f t="shared" si="52"/>
        <v>0.49926467474292185</v>
      </c>
      <c r="BE14" s="33">
        <f t="shared" si="53"/>
        <v>4.3827554932495516E-2</v>
      </c>
      <c r="BF14" s="53">
        <f t="shared" si="54"/>
        <v>257804.97262271887</v>
      </c>
      <c r="BG14" s="80">
        <f t="shared" si="55"/>
        <v>0</v>
      </c>
      <c r="BH14" s="76" t="s">
        <v>8</v>
      </c>
      <c r="BI14" s="30" t="s">
        <v>8</v>
      </c>
      <c r="BJ14" s="35">
        <f t="shared" si="56"/>
        <v>0.49926467474292185</v>
      </c>
      <c r="BK14" s="33">
        <f t="shared" si="57"/>
        <v>4.3827554932495516E-2</v>
      </c>
      <c r="BL14" s="53">
        <f t="shared" si="58"/>
        <v>257804.97262271887</v>
      </c>
      <c r="BM14" s="80">
        <f t="shared" si="59"/>
        <v>0</v>
      </c>
      <c r="BN14" s="76" t="s">
        <v>8</v>
      </c>
      <c r="BO14" s="30" t="s">
        <v>8</v>
      </c>
      <c r="BP14" s="35">
        <f t="shared" si="60"/>
        <v>0.49926467474292185</v>
      </c>
      <c r="BQ14" s="33">
        <f t="shared" si="61"/>
        <v>4.3827554932495516E-2</v>
      </c>
      <c r="BR14" s="53">
        <f t="shared" si="62"/>
        <v>257804.97262271887</v>
      </c>
      <c r="BS14" s="128">
        <f t="shared" si="63"/>
        <v>0</v>
      </c>
      <c r="BT14" s="76" t="s">
        <v>8</v>
      </c>
      <c r="BU14" s="30" t="s">
        <v>8</v>
      </c>
      <c r="BV14" s="35">
        <f t="shared" si="64"/>
        <v>0.49926467474292185</v>
      </c>
      <c r="BW14" s="33">
        <f t="shared" si="65"/>
        <v>4.3827554932495516E-2</v>
      </c>
      <c r="BX14" s="53">
        <f t="shared" si="66"/>
        <v>257804.97262271887</v>
      </c>
      <c r="BY14" s="128">
        <f t="shared" si="67"/>
        <v>0</v>
      </c>
      <c r="BZ14" s="76" t="s">
        <v>8</v>
      </c>
      <c r="CA14" s="30" t="s">
        <v>8</v>
      </c>
      <c r="CB14" s="35">
        <f t="shared" si="68"/>
        <v>0.49926467474292185</v>
      </c>
      <c r="CC14" s="33">
        <f t="shared" si="69"/>
        <v>4.3827554932495516E-2</v>
      </c>
      <c r="CD14" s="53">
        <f t="shared" si="70"/>
        <v>257804.97262271887</v>
      </c>
      <c r="CE14" s="128">
        <f t="shared" si="71"/>
        <v>0</v>
      </c>
      <c r="CF14" s="76" t="s">
        <v>8</v>
      </c>
      <c r="CG14" s="30" t="s">
        <v>8</v>
      </c>
      <c r="CH14" s="35">
        <f t="shared" si="72"/>
        <v>0.49926467474292185</v>
      </c>
      <c r="CI14" s="33">
        <f t="shared" si="73"/>
        <v>4.3827554932495516E-2</v>
      </c>
      <c r="CJ14" s="53">
        <f t="shared" si="74"/>
        <v>257804.97262271887</v>
      </c>
      <c r="CK14" s="128">
        <f t="shared" si="75"/>
        <v>0</v>
      </c>
      <c r="CL14" s="76" t="s">
        <v>8</v>
      </c>
      <c r="CM14" s="30" t="s">
        <v>8</v>
      </c>
      <c r="CN14" s="35">
        <f t="shared" si="76"/>
        <v>0.49926467474292185</v>
      </c>
      <c r="CO14" s="33">
        <f t="shared" si="77"/>
        <v>4.3827554932495516E-2</v>
      </c>
      <c r="CP14" s="53">
        <f t="shared" si="78"/>
        <v>257804.97262271887</v>
      </c>
      <c r="CQ14" s="128">
        <f t="shared" si="79"/>
        <v>0</v>
      </c>
      <c r="CR14" s="76" t="s">
        <v>8</v>
      </c>
      <c r="CS14" s="30" t="s">
        <v>8</v>
      </c>
      <c r="CT14" s="35">
        <f t="shared" si="80"/>
        <v>0.49926467474292185</v>
      </c>
      <c r="CU14" s="33">
        <f t="shared" si="81"/>
        <v>4.3827554932495516E-2</v>
      </c>
      <c r="CV14" s="53">
        <f t="shared" si="82"/>
        <v>257804.97262271887</v>
      </c>
      <c r="CW14" s="128">
        <f t="shared" si="83"/>
        <v>0</v>
      </c>
      <c r="CX14" s="76" t="s">
        <v>8</v>
      </c>
      <c r="CY14" s="30" t="s">
        <v>8</v>
      </c>
      <c r="CZ14" s="35">
        <f t="shared" si="84"/>
        <v>0.49926467474292185</v>
      </c>
      <c r="DA14" s="33">
        <f t="shared" si="85"/>
        <v>4.3827554932495516E-2</v>
      </c>
      <c r="DB14" s="53">
        <f t="shared" si="86"/>
        <v>257804.97262271887</v>
      </c>
      <c r="DC14" s="128">
        <f t="shared" si="87"/>
        <v>0</v>
      </c>
      <c r="DD14" s="76" t="s">
        <v>8</v>
      </c>
      <c r="DE14" s="30" t="s">
        <v>8</v>
      </c>
      <c r="DF14" s="35">
        <f t="shared" si="88"/>
        <v>0.49926467474292185</v>
      </c>
      <c r="DG14" s="33">
        <f t="shared" si="89"/>
        <v>4.3827554932495516E-2</v>
      </c>
      <c r="DH14" s="53">
        <f t="shared" si="90"/>
        <v>257804.97262271887</v>
      </c>
      <c r="DI14" s="128">
        <f t="shared" si="91"/>
        <v>0</v>
      </c>
      <c r="DJ14" s="76" t="s">
        <v>8</v>
      </c>
      <c r="DK14" s="30" t="s">
        <v>8</v>
      </c>
      <c r="DL14" s="35">
        <f t="shared" si="92"/>
        <v>0.49926467474292185</v>
      </c>
      <c r="DM14" s="33">
        <f t="shared" si="93"/>
        <v>4.3827554932495516E-2</v>
      </c>
      <c r="DN14" s="53">
        <f t="shared" si="94"/>
        <v>257804.97262271887</v>
      </c>
      <c r="DO14" s="128">
        <f t="shared" si="95"/>
        <v>0</v>
      </c>
      <c r="DP14" s="76" t="s">
        <v>8</v>
      </c>
      <c r="DQ14" s="30" t="s">
        <v>8</v>
      </c>
      <c r="DR14" s="35">
        <f t="shared" si="96"/>
        <v>0.49926467474292185</v>
      </c>
      <c r="DS14" s="33">
        <f t="shared" si="97"/>
        <v>4.3827554932495516E-2</v>
      </c>
      <c r="DT14" s="53">
        <f t="shared" si="98"/>
        <v>257804.97262271887</v>
      </c>
      <c r="DU14" s="128">
        <f t="shared" si="99"/>
        <v>0</v>
      </c>
      <c r="DV14" s="76" t="s">
        <v>8</v>
      </c>
      <c r="DW14" s="30" t="s">
        <v>8</v>
      </c>
      <c r="DX14" s="35">
        <f t="shared" si="100"/>
        <v>0.49926467474292185</v>
      </c>
      <c r="DY14" s="33">
        <f t="shared" si="101"/>
        <v>4.3827554932495516E-2</v>
      </c>
      <c r="DZ14" s="34">
        <f t="shared" si="102"/>
        <v>257804.97262271887</v>
      </c>
      <c r="EA14" s="80">
        <f t="shared" si="103"/>
        <v>0</v>
      </c>
      <c r="EB14" s="76" t="s">
        <v>8</v>
      </c>
      <c r="EC14" s="30" t="s">
        <v>8</v>
      </c>
      <c r="ED14" s="35">
        <f t="shared" si="104"/>
        <v>0.49926467474292185</v>
      </c>
      <c r="EE14" s="33">
        <f t="shared" si="105"/>
        <v>4.3827554932495516E-2</v>
      </c>
      <c r="EF14" s="34">
        <f t="shared" si="106"/>
        <v>257804.97262271887</v>
      </c>
      <c r="EG14" s="80">
        <f t="shared" si="107"/>
        <v>0</v>
      </c>
      <c r="EH14" s="76" t="s">
        <v>8</v>
      </c>
      <c r="EI14" s="30" t="s">
        <v>8</v>
      </c>
      <c r="EJ14" s="35">
        <f t="shared" si="108"/>
        <v>0.49926467474292185</v>
      </c>
      <c r="EK14" s="33">
        <f t="shared" si="109"/>
        <v>4.3827554932495516E-2</v>
      </c>
      <c r="EL14" s="34">
        <f t="shared" si="110"/>
        <v>257804.97262271887</v>
      </c>
      <c r="EM14" s="80">
        <f t="shared" si="111"/>
        <v>0</v>
      </c>
      <c r="EN14" s="76" t="s">
        <v>8</v>
      </c>
      <c r="EO14" s="30" t="s">
        <v>8</v>
      </c>
      <c r="EP14" s="35">
        <f t="shared" si="112"/>
        <v>0.49926467474292185</v>
      </c>
      <c r="EQ14" s="33">
        <f t="shared" si="113"/>
        <v>4.3827554932495516E-2</v>
      </c>
      <c r="ER14" s="34">
        <f t="shared" si="114"/>
        <v>257804.97262271887</v>
      </c>
      <c r="ES14" s="80">
        <f t="shared" si="115"/>
        <v>0</v>
      </c>
      <c r="ET14" s="76" t="s">
        <v>8</v>
      </c>
      <c r="EU14" s="30" t="s">
        <v>8</v>
      </c>
      <c r="EV14" s="35">
        <f t="shared" si="116"/>
        <v>0.49926467474292185</v>
      </c>
      <c r="EW14" s="33">
        <f t="shared" si="117"/>
        <v>4.3827554932495516E-2</v>
      </c>
      <c r="EX14" s="34">
        <f t="shared" si="118"/>
        <v>257804.97262271887</v>
      </c>
      <c r="EY14" s="80">
        <f t="shared" si="119"/>
        <v>0</v>
      </c>
      <c r="EZ14" s="76" t="s">
        <v>8</v>
      </c>
      <c r="FA14" s="30" t="s">
        <v>8</v>
      </c>
      <c r="FB14" s="35">
        <f t="shared" si="120"/>
        <v>0.49926467474292185</v>
      </c>
      <c r="FC14" s="33">
        <f t="shared" si="121"/>
        <v>4.3827554932495516E-2</v>
      </c>
      <c r="FD14" s="34">
        <f t="shared" si="122"/>
        <v>257804.97262271887</v>
      </c>
      <c r="FE14" s="80">
        <f t="shared" si="123"/>
        <v>0</v>
      </c>
      <c r="FF14" s="76" t="s">
        <v>8</v>
      </c>
      <c r="FG14" s="30" t="s">
        <v>8</v>
      </c>
      <c r="FH14" s="35">
        <f t="shared" si="124"/>
        <v>0.49926467474292185</v>
      </c>
      <c r="FI14" s="33">
        <f t="shared" si="125"/>
        <v>4.3827554932495516E-2</v>
      </c>
      <c r="FJ14" s="34">
        <f t="shared" si="126"/>
        <v>257804.97262271887</v>
      </c>
      <c r="FK14" s="80">
        <f t="shared" si="127"/>
        <v>0</v>
      </c>
      <c r="FL14" s="76" t="s">
        <v>8</v>
      </c>
      <c r="FM14" s="30" t="s">
        <v>8</v>
      </c>
      <c r="FN14" s="35">
        <f t="shared" si="128"/>
        <v>0.49926467474292185</v>
      </c>
      <c r="FO14" s="33">
        <f t="shared" si="129"/>
        <v>4.3827554932495516E-2</v>
      </c>
      <c r="FP14" s="34">
        <f t="shared" si="130"/>
        <v>257804.97262271887</v>
      </c>
      <c r="FQ14" s="80">
        <f t="shared" si="131"/>
        <v>0</v>
      </c>
      <c r="FR14" s="76" t="s">
        <v>8</v>
      </c>
      <c r="FS14" s="30" t="s">
        <v>8</v>
      </c>
      <c r="FT14" s="35">
        <f t="shared" si="132"/>
        <v>0.49926467474292185</v>
      </c>
      <c r="FU14" s="33">
        <f t="shared" si="133"/>
        <v>4.3827554932495516E-2</v>
      </c>
      <c r="FV14" s="34">
        <f t="shared" si="134"/>
        <v>257804.97262271887</v>
      </c>
      <c r="FW14" s="80">
        <f t="shared" si="135"/>
        <v>0</v>
      </c>
      <c r="FX14" s="76" t="s">
        <v>8</v>
      </c>
      <c r="FY14" s="30" t="s">
        <v>8</v>
      </c>
      <c r="FZ14" s="35">
        <f t="shared" si="136"/>
        <v>0.49926467474292185</v>
      </c>
      <c r="GA14" s="33">
        <f t="shared" si="137"/>
        <v>4.3827554932495516E-2</v>
      </c>
      <c r="GB14" s="34">
        <f t="shared" si="138"/>
        <v>257804.97262271887</v>
      </c>
      <c r="GC14" s="80">
        <f t="shared" si="139"/>
        <v>0</v>
      </c>
      <c r="GD14" s="76" t="s">
        <v>8</v>
      </c>
      <c r="GE14" s="30" t="s">
        <v>8</v>
      </c>
      <c r="GF14" s="35">
        <f t="shared" si="140"/>
        <v>0.49926467474292185</v>
      </c>
      <c r="GG14" s="33">
        <f t="shared" si="141"/>
        <v>4.3827554932495516E-2</v>
      </c>
      <c r="GH14" s="34">
        <f t="shared" si="142"/>
        <v>257804.97262271887</v>
      </c>
      <c r="GI14" s="128">
        <f t="shared" si="143"/>
        <v>0</v>
      </c>
      <c r="GJ14" s="176">
        <f t="shared" si="146"/>
        <v>1157681.8140904182</v>
      </c>
      <c r="GK14" s="99">
        <f t="shared" si="144"/>
        <v>1171796.4060455947</v>
      </c>
      <c r="GL14" s="217">
        <f t="shared" si="145"/>
        <v>0.49926467474292185</v>
      </c>
      <c r="GM14" s="231">
        <f t="shared" si="147"/>
        <v>1171796.4099999999</v>
      </c>
      <c r="GN14" s="233"/>
    </row>
    <row r="15" spans="1:196" ht="15.75" x14ac:dyDescent="0.25">
      <c r="A15" s="161" t="s">
        <v>180</v>
      </c>
      <c r="B15" s="164" t="s">
        <v>8</v>
      </c>
      <c r="C15" s="164" t="s">
        <v>8</v>
      </c>
      <c r="D15" s="164" t="s">
        <v>8</v>
      </c>
      <c r="E15" s="164" t="s">
        <v>8</v>
      </c>
      <c r="F15" s="164" t="s">
        <v>8</v>
      </c>
      <c r="G15" s="108">
        <f>'Исходные данные'!C17</f>
        <v>165</v>
      </c>
      <c r="H15" s="49">
        <f>'Исходные данные'!E17</f>
        <v>70763.54349938684</v>
      </c>
      <c r="I15" s="32">
        <f>'Расчет КРП'!G13</f>
        <v>10.049854405809244</v>
      </c>
      <c r="J15" s="115" t="s">
        <v>8</v>
      </c>
      <c r="K15" s="119">
        <f t="shared" si="22"/>
        <v>3.2811742978779743E-2</v>
      </c>
      <c r="L15" s="77">
        <f t="shared" si="23"/>
        <v>30245.554189663817</v>
      </c>
      <c r="M15" s="73">
        <f t="shared" si="24"/>
        <v>4.683604562454257E-2</v>
      </c>
      <c r="N15" s="30" t="s">
        <v>8</v>
      </c>
      <c r="O15" s="33">
        <f t="shared" si="25"/>
        <v>0.10748995676463838</v>
      </c>
      <c r="P15" s="34">
        <f t="shared" si="26"/>
        <v>264491.55076130253</v>
      </c>
      <c r="Q15" s="80">
        <f t="shared" si="27"/>
        <v>264491.55076130253</v>
      </c>
      <c r="R15" s="169" t="s">
        <v>8</v>
      </c>
      <c r="S15" s="30" t="s">
        <v>8</v>
      </c>
      <c r="T15" s="35">
        <f t="shared" si="28"/>
        <v>0.16947587334478573</v>
      </c>
      <c r="U15" s="33">
        <f t="shared" si="29"/>
        <v>8.6769887046991928E-2</v>
      </c>
      <c r="V15" s="53">
        <f t="shared" si="30"/>
        <v>273791.74199820147</v>
      </c>
      <c r="W15" s="80">
        <f t="shared" si="31"/>
        <v>273791.74199820147</v>
      </c>
      <c r="X15" s="76" t="s">
        <v>8</v>
      </c>
      <c r="Y15" s="30" t="s">
        <v>8</v>
      </c>
      <c r="Z15" s="35">
        <f t="shared" si="32"/>
        <v>0.29642802729161577</v>
      </c>
      <c r="AA15" s="33">
        <f t="shared" si="33"/>
        <v>7.0632411653723193E-2</v>
      </c>
      <c r="AB15" s="53">
        <f t="shared" si="34"/>
        <v>278818.59952647635</v>
      </c>
      <c r="AC15" s="80">
        <f t="shared" si="35"/>
        <v>278818.59952647635</v>
      </c>
      <c r="AD15" s="76" t="s">
        <v>8</v>
      </c>
      <c r="AE15" s="30" t="s">
        <v>8</v>
      </c>
      <c r="AF15" s="35">
        <f t="shared" si="36"/>
        <v>0.42571104186317033</v>
      </c>
      <c r="AG15" s="33">
        <f t="shared" si="37"/>
        <v>5.2937301733662789E-2</v>
      </c>
      <c r="AH15" s="53">
        <f t="shared" si="38"/>
        <v>250752.01912682274</v>
      </c>
      <c r="AI15" s="80">
        <f t="shared" si="39"/>
        <v>159643.11105473823</v>
      </c>
      <c r="AJ15" s="76" t="s">
        <v>8</v>
      </c>
      <c r="AK15" s="30" t="s">
        <v>8</v>
      </c>
      <c r="AL15" s="35">
        <f t="shared" si="40"/>
        <v>0.49973459225683098</v>
      </c>
      <c r="AM15" s="33">
        <f t="shared" si="41"/>
        <v>4.3357637418586392E-2</v>
      </c>
      <c r="AN15" s="53">
        <f t="shared" si="42"/>
        <v>225298.7340492061</v>
      </c>
      <c r="AO15" s="80">
        <f t="shared" si="43"/>
        <v>0</v>
      </c>
      <c r="AP15" s="76" t="s">
        <v>8</v>
      </c>
      <c r="AQ15" s="30" t="s">
        <v>8</v>
      </c>
      <c r="AR15" s="35">
        <f t="shared" si="44"/>
        <v>0.49973459225683098</v>
      </c>
      <c r="AS15" s="33">
        <f t="shared" si="45"/>
        <v>4.3357637418586392E-2</v>
      </c>
      <c r="AT15" s="53">
        <f t="shared" si="46"/>
        <v>225298.7340492061</v>
      </c>
      <c r="AU15" s="80">
        <f t="shared" si="47"/>
        <v>0</v>
      </c>
      <c r="AV15" s="76" t="s">
        <v>8</v>
      </c>
      <c r="AW15" s="30" t="s">
        <v>8</v>
      </c>
      <c r="AX15" s="35">
        <f t="shared" si="48"/>
        <v>0.49973459225683098</v>
      </c>
      <c r="AY15" s="33">
        <f t="shared" si="49"/>
        <v>4.3357637418586392E-2</v>
      </c>
      <c r="AZ15" s="53">
        <f t="shared" si="50"/>
        <v>225298.7340492061</v>
      </c>
      <c r="BA15" s="80">
        <f t="shared" si="51"/>
        <v>0</v>
      </c>
      <c r="BB15" s="76" t="s">
        <v>8</v>
      </c>
      <c r="BC15" s="30" t="s">
        <v>8</v>
      </c>
      <c r="BD15" s="35">
        <f t="shared" si="52"/>
        <v>0.49973459225683098</v>
      </c>
      <c r="BE15" s="33">
        <f t="shared" si="53"/>
        <v>4.3357637418586392E-2</v>
      </c>
      <c r="BF15" s="53">
        <f t="shared" si="54"/>
        <v>225298.7340492061</v>
      </c>
      <c r="BG15" s="80">
        <f t="shared" si="55"/>
        <v>0</v>
      </c>
      <c r="BH15" s="76" t="s">
        <v>8</v>
      </c>
      <c r="BI15" s="30" t="s">
        <v>8</v>
      </c>
      <c r="BJ15" s="35">
        <f t="shared" si="56"/>
        <v>0.49973459225683098</v>
      </c>
      <c r="BK15" s="33">
        <f t="shared" si="57"/>
        <v>4.3357637418586392E-2</v>
      </c>
      <c r="BL15" s="53">
        <f t="shared" si="58"/>
        <v>225298.7340492061</v>
      </c>
      <c r="BM15" s="80">
        <f t="shared" si="59"/>
        <v>0</v>
      </c>
      <c r="BN15" s="76" t="s">
        <v>8</v>
      </c>
      <c r="BO15" s="30" t="s">
        <v>8</v>
      </c>
      <c r="BP15" s="35">
        <f t="shared" si="60"/>
        <v>0.49973459225683098</v>
      </c>
      <c r="BQ15" s="33">
        <f t="shared" si="61"/>
        <v>4.3357637418586392E-2</v>
      </c>
      <c r="BR15" s="53">
        <f t="shared" si="62"/>
        <v>225298.7340492061</v>
      </c>
      <c r="BS15" s="128">
        <f t="shared" si="63"/>
        <v>0</v>
      </c>
      <c r="BT15" s="76" t="s">
        <v>8</v>
      </c>
      <c r="BU15" s="30" t="s">
        <v>8</v>
      </c>
      <c r="BV15" s="35">
        <f t="shared" si="64"/>
        <v>0.49973459225683098</v>
      </c>
      <c r="BW15" s="33">
        <f t="shared" si="65"/>
        <v>4.3357637418586392E-2</v>
      </c>
      <c r="BX15" s="53">
        <f t="shared" si="66"/>
        <v>225298.7340492061</v>
      </c>
      <c r="BY15" s="128">
        <f t="shared" si="67"/>
        <v>0</v>
      </c>
      <c r="BZ15" s="76" t="s">
        <v>8</v>
      </c>
      <c r="CA15" s="30" t="s">
        <v>8</v>
      </c>
      <c r="CB15" s="35">
        <f t="shared" si="68"/>
        <v>0.49973459225683098</v>
      </c>
      <c r="CC15" s="33">
        <f t="shared" si="69"/>
        <v>4.3357637418586392E-2</v>
      </c>
      <c r="CD15" s="53">
        <f t="shared" si="70"/>
        <v>225298.7340492061</v>
      </c>
      <c r="CE15" s="128">
        <f t="shared" si="71"/>
        <v>0</v>
      </c>
      <c r="CF15" s="76" t="s">
        <v>8</v>
      </c>
      <c r="CG15" s="30" t="s">
        <v>8</v>
      </c>
      <c r="CH15" s="35">
        <f t="shared" si="72"/>
        <v>0.49973459225683098</v>
      </c>
      <c r="CI15" s="33">
        <f t="shared" si="73"/>
        <v>4.3357637418586392E-2</v>
      </c>
      <c r="CJ15" s="53">
        <f t="shared" si="74"/>
        <v>225298.7340492061</v>
      </c>
      <c r="CK15" s="128">
        <f t="shared" si="75"/>
        <v>0</v>
      </c>
      <c r="CL15" s="76" t="s">
        <v>8</v>
      </c>
      <c r="CM15" s="30" t="s">
        <v>8</v>
      </c>
      <c r="CN15" s="35">
        <f t="shared" si="76"/>
        <v>0.49973459225683098</v>
      </c>
      <c r="CO15" s="33">
        <f t="shared" si="77"/>
        <v>4.3357637418586392E-2</v>
      </c>
      <c r="CP15" s="53">
        <f t="shared" si="78"/>
        <v>225298.7340492061</v>
      </c>
      <c r="CQ15" s="128">
        <f t="shared" si="79"/>
        <v>0</v>
      </c>
      <c r="CR15" s="76" t="s">
        <v>8</v>
      </c>
      <c r="CS15" s="30" t="s">
        <v>8</v>
      </c>
      <c r="CT15" s="35">
        <f t="shared" si="80"/>
        <v>0.49973459225683098</v>
      </c>
      <c r="CU15" s="33">
        <f t="shared" si="81"/>
        <v>4.3357637418586392E-2</v>
      </c>
      <c r="CV15" s="53">
        <f t="shared" si="82"/>
        <v>225298.7340492061</v>
      </c>
      <c r="CW15" s="128">
        <f t="shared" si="83"/>
        <v>0</v>
      </c>
      <c r="CX15" s="76" t="s">
        <v>8</v>
      </c>
      <c r="CY15" s="30" t="s">
        <v>8</v>
      </c>
      <c r="CZ15" s="35">
        <f t="shared" si="84"/>
        <v>0.49973459225683098</v>
      </c>
      <c r="DA15" s="33">
        <f t="shared" si="85"/>
        <v>4.3357637418586392E-2</v>
      </c>
      <c r="DB15" s="53">
        <f t="shared" si="86"/>
        <v>225298.7340492061</v>
      </c>
      <c r="DC15" s="128">
        <f t="shared" si="87"/>
        <v>0</v>
      </c>
      <c r="DD15" s="76" t="s">
        <v>8</v>
      </c>
      <c r="DE15" s="30" t="s">
        <v>8</v>
      </c>
      <c r="DF15" s="35">
        <f t="shared" si="88"/>
        <v>0.49973459225683098</v>
      </c>
      <c r="DG15" s="33">
        <f t="shared" si="89"/>
        <v>4.3357637418586392E-2</v>
      </c>
      <c r="DH15" s="53">
        <f t="shared" si="90"/>
        <v>225298.7340492061</v>
      </c>
      <c r="DI15" s="128">
        <f t="shared" si="91"/>
        <v>0</v>
      </c>
      <c r="DJ15" s="76" t="s">
        <v>8</v>
      </c>
      <c r="DK15" s="30" t="s">
        <v>8</v>
      </c>
      <c r="DL15" s="35">
        <f t="shared" si="92"/>
        <v>0.49973459225683098</v>
      </c>
      <c r="DM15" s="33">
        <f t="shared" si="93"/>
        <v>4.3357637418586392E-2</v>
      </c>
      <c r="DN15" s="53">
        <f t="shared" si="94"/>
        <v>225298.7340492061</v>
      </c>
      <c r="DO15" s="128">
        <f t="shared" si="95"/>
        <v>0</v>
      </c>
      <c r="DP15" s="76" t="s">
        <v>8</v>
      </c>
      <c r="DQ15" s="30" t="s">
        <v>8</v>
      </c>
      <c r="DR15" s="35">
        <f t="shared" si="96"/>
        <v>0.49973459225683098</v>
      </c>
      <c r="DS15" s="33">
        <f t="shared" si="97"/>
        <v>4.3357637418586392E-2</v>
      </c>
      <c r="DT15" s="53">
        <f t="shared" si="98"/>
        <v>225298.7340492061</v>
      </c>
      <c r="DU15" s="128">
        <f t="shared" si="99"/>
        <v>0</v>
      </c>
      <c r="DV15" s="76" t="s">
        <v>8</v>
      </c>
      <c r="DW15" s="30" t="s">
        <v>8</v>
      </c>
      <c r="DX15" s="35">
        <f t="shared" si="100"/>
        <v>0.49973459225683098</v>
      </c>
      <c r="DY15" s="33">
        <f t="shared" si="101"/>
        <v>4.3357637418586392E-2</v>
      </c>
      <c r="DZ15" s="34">
        <f t="shared" si="102"/>
        <v>225298.7340492061</v>
      </c>
      <c r="EA15" s="80">
        <f t="shared" si="103"/>
        <v>0</v>
      </c>
      <c r="EB15" s="76" t="s">
        <v>8</v>
      </c>
      <c r="EC15" s="30" t="s">
        <v>8</v>
      </c>
      <c r="ED15" s="35">
        <f t="shared" si="104"/>
        <v>0.49973459225683098</v>
      </c>
      <c r="EE15" s="33">
        <f t="shared" si="105"/>
        <v>4.3357637418586392E-2</v>
      </c>
      <c r="EF15" s="34">
        <f t="shared" si="106"/>
        <v>225298.7340492061</v>
      </c>
      <c r="EG15" s="80">
        <f t="shared" si="107"/>
        <v>0</v>
      </c>
      <c r="EH15" s="76" t="s">
        <v>8</v>
      </c>
      <c r="EI15" s="30" t="s">
        <v>8</v>
      </c>
      <c r="EJ15" s="35">
        <f t="shared" si="108"/>
        <v>0.49973459225683098</v>
      </c>
      <c r="EK15" s="33">
        <f t="shared" si="109"/>
        <v>4.3357637418586392E-2</v>
      </c>
      <c r="EL15" s="34">
        <f t="shared" si="110"/>
        <v>225298.7340492061</v>
      </c>
      <c r="EM15" s="80">
        <f t="shared" si="111"/>
        <v>0</v>
      </c>
      <c r="EN15" s="76" t="s">
        <v>8</v>
      </c>
      <c r="EO15" s="30" t="s">
        <v>8</v>
      </c>
      <c r="EP15" s="35">
        <f t="shared" si="112"/>
        <v>0.49973459225683098</v>
      </c>
      <c r="EQ15" s="33">
        <f t="shared" si="113"/>
        <v>4.3357637418586392E-2</v>
      </c>
      <c r="ER15" s="34">
        <f t="shared" si="114"/>
        <v>225298.7340492061</v>
      </c>
      <c r="ES15" s="80">
        <f t="shared" si="115"/>
        <v>0</v>
      </c>
      <c r="ET15" s="76" t="s">
        <v>8</v>
      </c>
      <c r="EU15" s="30" t="s">
        <v>8</v>
      </c>
      <c r="EV15" s="35">
        <f t="shared" si="116"/>
        <v>0.49973459225683098</v>
      </c>
      <c r="EW15" s="33">
        <f t="shared" si="117"/>
        <v>4.3357637418586392E-2</v>
      </c>
      <c r="EX15" s="34">
        <f t="shared" si="118"/>
        <v>225298.7340492061</v>
      </c>
      <c r="EY15" s="80">
        <f t="shared" si="119"/>
        <v>0</v>
      </c>
      <c r="EZ15" s="76" t="s">
        <v>8</v>
      </c>
      <c r="FA15" s="30" t="s">
        <v>8</v>
      </c>
      <c r="FB15" s="35">
        <f t="shared" si="120"/>
        <v>0.49973459225683098</v>
      </c>
      <c r="FC15" s="33">
        <f t="shared" si="121"/>
        <v>4.3357637418586392E-2</v>
      </c>
      <c r="FD15" s="34">
        <f t="shared" si="122"/>
        <v>225298.7340492061</v>
      </c>
      <c r="FE15" s="80">
        <f t="shared" si="123"/>
        <v>0</v>
      </c>
      <c r="FF15" s="76" t="s">
        <v>8</v>
      </c>
      <c r="FG15" s="30" t="s">
        <v>8</v>
      </c>
      <c r="FH15" s="35">
        <f t="shared" si="124"/>
        <v>0.49973459225683098</v>
      </c>
      <c r="FI15" s="33">
        <f t="shared" si="125"/>
        <v>4.3357637418586392E-2</v>
      </c>
      <c r="FJ15" s="34">
        <f t="shared" si="126"/>
        <v>225298.7340492061</v>
      </c>
      <c r="FK15" s="80">
        <f t="shared" si="127"/>
        <v>0</v>
      </c>
      <c r="FL15" s="76" t="s">
        <v>8</v>
      </c>
      <c r="FM15" s="30" t="s">
        <v>8</v>
      </c>
      <c r="FN15" s="35">
        <f t="shared" si="128"/>
        <v>0.49973459225683098</v>
      </c>
      <c r="FO15" s="33">
        <f t="shared" si="129"/>
        <v>4.3357637418586392E-2</v>
      </c>
      <c r="FP15" s="34">
        <f t="shared" si="130"/>
        <v>225298.7340492061</v>
      </c>
      <c r="FQ15" s="80">
        <f t="shared" si="131"/>
        <v>0</v>
      </c>
      <c r="FR15" s="76" t="s">
        <v>8</v>
      </c>
      <c r="FS15" s="30" t="s">
        <v>8</v>
      </c>
      <c r="FT15" s="35">
        <f t="shared" si="132"/>
        <v>0.49973459225683098</v>
      </c>
      <c r="FU15" s="33">
        <f t="shared" si="133"/>
        <v>4.3357637418586392E-2</v>
      </c>
      <c r="FV15" s="34">
        <f t="shared" si="134"/>
        <v>225298.7340492061</v>
      </c>
      <c r="FW15" s="80">
        <f t="shared" si="135"/>
        <v>0</v>
      </c>
      <c r="FX15" s="76" t="s">
        <v>8</v>
      </c>
      <c r="FY15" s="30" t="s">
        <v>8</v>
      </c>
      <c r="FZ15" s="35">
        <f t="shared" si="136"/>
        <v>0.49973459225683098</v>
      </c>
      <c r="GA15" s="33">
        <f t="shared" si="137"/>
        <v>4.3357637418586392E-2</v>
      </c>
      <c r="GB15" s="34">
        <f t="shared" si="138"/>
        <v>225298.7340492061</v>
      </c>
      <c r="GC15" s="80">
        <f t="shared" si="139"/>
        <v>0</v>
      </c>
      <c r="GD15" s="76" t="s">
        <v>8</v>
      </c>
      <c r="GE15" s="30" t="s">
        <v>8</v>
      </c>
      <c r="GF15" s="35">
        <f t="shared" si="140"/>
        <v>0.49973459225683098</v>
      </c>
      <c r="GG15" s="33">
        <f t="shared" si="141"/>
        <v>4.3357637418586392E-2</v>
      </c>
      <c r="GH15" s="34">
        <f t="shared" si="142"/>
        <v>225298.7340492061</v>
      </c>
      <c r="GI15" s="128">
        <f t="shared" si="143"/>
        <v>0</v>
      </c>
      <c r="GJ15" s="176">
        <f t="shared" si="146"/>
        <v>976745.00334071857</v>
      </c>
      <c r="GK15" s="99">
        <f t="shared" si="144"/>
        <v>1006990.5575303824</v>
      </c>
      <c r="GL15" s="217">
        <f t="shared" si="145"/>
        <v>0.49973459225683103</v>
      </c>
      <c r="GM15" s="231">
        <f t="shared" si="147"/>
        <v>1006990.56</v>
      </c>
      <c r="GN15" s="233"/>
    </row>
    <row r="16" spans="1:196" ht="15.75" x14ac:dyDescent="0.25">
      <c r="A16" s="162" t="s">
        <v>181</v>
      </c>
      <c r="B16" s="164" t="s">
        <v>8</v>
      </c>
      <c r="C16" s="164" t="s">
        <v>8</v>
      </c>
      <c r="D16" s="164" t="s">
        <v>8</v>
      </c>
      <c r="E16" s="164" t="s">
        <v>8</v>
      </c>
      <c r="F16" s="164" t="s">
        <v>8</v>
      </c>
      <c r="G16" s="108">
        <f>'Исходные данные'!C18</f>
        <v>541</v>
      </c>
      <c r="H16" s="49">
        <f>'Исходные данные'!E18</f>
        <v>164154.79285772485</v>
      </c>
      <c r="I16" s="32">
        <f>'Расчет КРП'!G14</f>
        <v>6.1882482857313219</v>
      </c>
      <c r="J16" s="115" t="s">
        <v>8</v>
      </c>
      <c r="K16" s="119">
        <f t="shared" si="22"/>
        <v>3.7700925815166042E-2</v>
      </c>
      <c r="L16" s="77">
        <f t="shared" si="23"/>
        <v>99168.756464291684</v>
      </c>
      <c r="M16" s="73">
        <f t="shared" si="24"/>
        <v>6.0476708754887795E-2</v>
      </c>
      <c r="N16" s="30" t="s">
        <v>8</v>
      </c>
      <c r="O16" s="33">
        <f t="shared" si="25"/>
        <v>9.384929363429316E-2</v>
      </c>
      <c r="P16" s="34">
        <f t="shared" si="26"/>
        <v>466225.69386742171</v>
      </c>
      <c r="Q16" s="80">
        <f t="shared" si="27"/>
        <v>466225.69386742171</v>
      </c>
      <c r="R16" s="169" t="s">
        <v>8</v>
      </c>
      <c r="S16" s="30" t="s">
        <v>8</v>
      </c>
      <c r="T16" s="35">
        <f t="shared" si="28"/>
        <v>0.16755332827737909</v>
      </c>
      <c r="U16" s="33">
        <f t="shared" si="29"/>
        <v>8.8692432114398562E-2</v>
      </c>
      <c r="V16" s="53">
        <f t="shared" si="30"/>
        <v>565013.93382350123</v>
      </c>
      <c r="W16" s="80">
        <f t="shared" si="31"/>
        <v>565013.93382350123</v>
      </c>
      <c r="X16" s="76" t="s">
        <v>8</v>
      </c>
      <c r="Y16" s="30" t="s">
        <v>8</v>
      </c>
      <c r="Z16" s="35">
        <f t="shared" si="32"/>
        <v>0.29731833868482599</v>
      </c>
      <c r="AA16" s="33">
        <f t="shared" si="33"/>
        <v>6.9742100260512974E-2</v>
      </c>
      <c r="AB16" s="53">
        <f t="shared" si="34"/>
        <v>555819.79459642305</v>
      </c>
      <c r="AC16" s="80">
        <f t="shared" si="35"/>
        <v>555819.79459642305</v>
      </c>
      <c r="AD16" s="76" t="s">
        <v>8</v>
      </c>
      <c r="AE16" s="30" t="s">
        <v>8</v>
      </c>
      <c r="AF16" s="35">
        <f t="shared" si="36"/>
        <v>0.42497175944630489</v>
      </c>
      <c r="AG16" s="33">
        <f t="shared" si="37"/>
        <v>5.3676584150528228E-2</v>
      </c>
      <c r="AH16" s="53">
        <f t="shared" si="38"/>
        <v>513320.7134787807</v>
      </c>
      <c r="AI16" s="80">
        <f t="shared" si="39"/>
        <v>326809.39501086762</v>
      </c>
      <c r="AJ16" s="76" t="s">
        <v>8</v>
      </c>
      <c r="AK16" s="30" t="s">
        <v>8</v>
      </c>
      <c r="AL16" s="35">
        <f t="shared" si="40"/>
        <v>0.50002906689685744</v>
      </c>
      <c r="AM16" s="33">
        <f t="shared" si="41"/>
        <v>4.3063162778559927E-2</v>
      </c>
      <c r="AN16" s="53">
        <f t="shared" si="42"/>
        <v>451773.07771677856</v>
      </c>
      <c r="AO16" s="80">
        <f t="shared" si="43"/>
        <v>0</v>
      </c>
      <c r="AP16" s="76" t="s">
        <v>8</v>
      </c>
      <c r="AQ16" s="30" t="s">
        <v>8</v>
      </c>
      <c r="AR16" s="35">
        <f t="shared" si="44"/>
        <v>0.50002906689685744</v>
      </c>
      <c r="AS16" s="33">
        <f t="shared" si="45"/>
        <v>4.3063162778559927E-2</v>
      </c>
      <c r="AT16" s="53">
        <f t="shared" si="46"/>
        <v>451773.07771677856</v>
      </c>
      <c r="AU16" s="80">
        <f t="shared" si="47"/>
        <v>0</v>
      </c>
      <c r="AV16" s="76" t="s">
        <v>8</v>
      </c>
      <c r="AW16" s="30" t="s">
        <v>8</v>
      </c>
      <c r="AX16" s="35">
        <f t="shared" si="48"/>
        <v>0.50002906689685744</v>
      </c>
      <c r="AY16" s="33">
        <f t="shared" si="49"/>
        <v>4.3063162778559927E-2</v>
      </c>
      <c r="AZ16" s="53">
        <f t="shared" si="50"/>
        <v>451773.07771677856</v>
      </c>
      <c r="BA16" s="80">
        <f t="shared" si="51"/>
        <v>0</v>
      </c>
      <c r="BB16" s="76" t="s">
        <v>8</v>
      </c>
      <c r="BC16" s="30" t="s">
        <v>8</v>
      </c>
      <c r="BD16" s="35">
        <f t="shared" si="52"/>
        <v>0.50002906689685744</v>
      </c>
      <c r="BE16" s="33">
        <f t="shared" si="53"/>
        <v>4.3063162778559927E-2</v>
      </c>
      <c r="BF16" s="53">
        <f t="shared" si="54"/>
        <v>451773.07771677856</v>
      </c>
      <c r="BG16" s="80">
        <f t="shared" si="55"/>
        <v>0</v>
      </c>
      <c r="BH16" s="76" t="s">
        <v>8</v>
      </c>
      <c r="BI16" s="30" t="s">
        <v>8</v>
      </c>
      <c r="BJ16" s="35">
        <f t="shared" si="56"/>
        <v>0.50002906689685744</v>
      </c>
      <c r="BK16" s="33">
        <f t="shared" si="57"/>
        <v>4.3063162778559927E-2</v>
      </c>
      <c r="BL16" s="53">
        <f t="shared" si="58"/>
        <v>451773.07771677856</v>
      </c>
      <c r="BM16" s="80">
        <f t="shared" si="59"/>
        <v>0</v>
      </c>
      <c r="BN16" s="76" t="s">
        <v>8</v>
      </c>
      <c r="BO16" s="30" t="s">
        <v>8</v>
      </c>
      <c r="BP16" s="35">
        <f t="shared" si="60"/>
        <v>0.50002906689685744</v>
      </c>
      <c r="BQ16" s="33">
        <f t="shared" si="61"/>
        <v>4.3063162778559927E-2</v>
      </c>
      <c r="BR16" s="53">
        <f t="shared" si="62"/>
        <v>451773.07771677856</v>
      </c>
      <c r="BS16" s="128">
        <f t="shared" si="63"/>
        <v>0</v>
      </c>
      <c r="BT16" s="76" t="s">
        <v>8</v>
      </c>
      <c r="BU16" s="30" t="s">
        <v>8</v>
      </c>
      <c r="BV16" s="35">
        <f t="shared" si="64"/>
        <v>0.50002906689685744</v>
      </c>
      <c r="BW16" s="33">
        <f t="shared" si="65"/>
        <v>4.3063162778559927E-2</v>
      </c>
      <c r="BX16" s="53">
        <f t="shared" si="66"/>
        <v>451773.07771677856</v>
      </c>
      <c r="BY16" s="128">
        <f t="shared" si="67"/>
        <v>0</v>
      </c>
      <c r="BZ16" s="76" t="s">
        <v>8</v>
      </c>
      <c r="CA16" s="30" t="s">
        <v>8</v>
      </c>
      <c r="CB16" s="35">
        <f t="shared" si="68"/>
        <v>0.50002906689685744</v>
      </c>
      <c r="CC16" s="33">
        <f t="shared" si="69"/>
        <v>4.3063162778559927E-2</v>
      </c>
      <c r="CD16" s="53">
        <f t="shared" si="70"/>
        <v>451773.07771677856</v>
      </c>
      <c r="CE16" s="128">
        <f t="shared" si="71"/>
        <v>0</v>
      </c>
      <c r="CF16" s="76" t="s">
        <v>8</v>
      </c>
      <c r="CG16" s="30" t="s">
        <v>8</v>
      </c>
      <c r="CH16" s="35">
        <f t="shared" si="72"/>
        <v>0.50002906689685744</v>
      </c>
      <c r="CI16" s="33">
        <f t="shared" si="73"/>
        <v>4.3063162778559927E-2</v>
      </c>
      <c r="CJ16" s="53">
        <f t="shared" si="74"/>
        <v>451773.07771677856</v>
      </c>
      <c r="CK16" s="128">
        <f t="shared" si="75"/>
        <v>0</v>
      </c>
      <c r="CL16" s="76" t="s">
        <v>8</v>
      </c>
      <c r="CM16" s="30" t="s">
        <v>8</v>
      </c>
      <c r="CN16" s="35">
        <f t="shared" si="76"/>
        <v>0.50002906689685744</v>
      </c>
      <c r="CO16" s="33">
        <f t="shared" si="77"/>
        <v>4.3063162778559927E-2</v>
      </c>
      <c r="CP16" s="53">
        <f t="shared" si="78"/>
        <v>451773.07771677856</v>
      </c>
      <c r="CQ16" s="128">
        <f t="shared" si="79"/>
        <v>0</v>
      </c>
      <c r="CR16" s="76" t="s">
        <v>8</v>
      </c>
      <c r="CS16" s="30" t="s">
        <v>8</v>
      </c>
      <c r="CT16" s="35">
        <f t="shared" si="80"/>
        <v>0.50002906689685744</v>
      </c>
      <c r="CU16" s="33">
        <f t="shared" si="81"/>
        <v>4.3063162778559927E-2</v>
      </c>
      <c r="CV16" s="53">
        <f t="shared" si="82"/>
        <v>451773.07771677856</v>
      </c>
      <c r="CW16" s="128">
        <f t="shared" si="83"/>
        <v>0</v>
      </c>
      <c r="CX16" s="76" t="s">
        <v>8</v>
      </c>
      <c r="CY16" s="30" t="s">
        <v>8</v>
      </c>
      <c r="CZ16" s="35">
        <f t="shared" si="84"/>
        <v>0.50002906689685744</v>
      </c>
      <c r="DA16" s="33">
        <f t="shared" si="85"/>
        <v>4.3063162778559927E-2</v>
      </c>
      <c r="DB16" s="53">
        <f t="shared" si="86"/>
        <v>451773.07771677856</v>
      </c>
      <c r="DC16" s="128">
        <f t="shared" si="87"/>
        <v>0</v>
      </c>
      <c r="DD16" s="76" t="s">
        <v>8</v>
      </c>
      <c r="DE16" s="30" t="s">
        <v>8</v>
      </c>
      <c r="DF16" s="35">
        <f t="shared" si="88"/>
        <v>0.50002906689685744</v>
      </c>
      <c r="DG16" s="33">
        <f t="shared" si="89"/>
        <v>4.3063162778559927E-2</v>
      </c>
      <c r="DH16" s="53">
        <f t="shared" si="90"/>
        <v>451773.07771677856</v>
      </c>
      <c r="DI16" s="128">
        <f t="shared" si="91"/>
        <v>0</v>
      </c>
      <c r="DJ16" s="76" t="s">
        <v>8</v>
      </c>
      <c r="DK16" s="30" t="s">
        <v>8</v>
      </c>
      <c r="DL16" s="35">
        <f t="shared" si="92"/>
        <v>0.50002906689685744</v>
      </c>
      <c r="DM16" s="33">
        <f t="shared" si="93"/>
        <v>4.3063162778559927E-2</v>
      </c>
      <c r="DN16" s="53">
        <f t="shared" si="94"/>
        <v>451773.07771677856</v>
      </c>
      <c r="DO16" s="128">
        <f t="shared" si="95"/>
        <v>0</v>
      </c>
      <c r="DP16" s="76" t="s">
        <v>8</v>
      </c>
      <c r="DQ16" s="30" t="s">
        <v>8</v>
      </c>
      <c r="DR16" s="35">
        <f t="shared" si="96"/>
        <v>0.50002906689685744</v>
      </c>
      <c r="DS16" s="33">
        <f t="shared" si="97"/>
        <v>4.3063162778559927E-2</v>
      </c>
      <c r="DT16" s="53">
        <f t="shared" si="98"/>
        <v>451773.07771677856</v>
      </c>
      <c r="DU16" s="128">
        <f t="shared" si="99"/>
        <v>0</v>
      </c>
      <c r="DV16" s="76" t="s">
        <v>8</v>
      </c>
      <c r="DW16" s="30" t="s">
        <v>8</v>
      </c>
      <c r="DX16" s="35">
        <f t="shared" si="100"/>
        <v>0.50002906689685744</v>
      </c>
      <c r="DY16" s="33">
        <f t="shared" si="101"/>
        <v>4.3063162778559927E-2</v>
      </c>
      <c r="DZ16" s="34">
        <f t="shared" si="102"/>
        <v>451773.07771677856</v>
      </c>
      <c r="EA16" s="80">
        <f t="shared" si="103"/>
        <v>0</v>
      </c>
      <c r="EB16" s="76" t="s">
        <v>8</v>
      </c>
      <c r="EC16" s="30" t="s">
        <v>8</v>
      </c>
      <c r="ED16" s="35">
        <f t="shared" si="104"/>
        <v>0.50002906689685744</v>
      </c>
      <c r="EE16" s="33">
        <f t="shared" si="105"/>
        <v>4.3063162778559927E-2</v>
      </c>
      <c r="EF16" s="34">
        <f t="shared" si="106"/>
        <v>451773.07771677856</v>
      </c>
      <c r="EG16" s="80">
        <f t="shared" si="107"/>
        <v>0</v>
      </c>
      <c r="EH16" s="76" t="s">
        <v>8</v>
      </c>
      <c r="EI16" s="30" t="s">
        <v>8</v>
      </c>
      <c r="EJ16" s="35">
        <f t="shared" si="108"/>
        <v>0.50002906689685744</v>
      </c>
      <c r="EK16" s="33">
        <f t="shared" si="109"/>
        <v>4.3063162778559927E-2</v>
      </c>
      <c r="EL16" s="34">
        <f t="shared" si="110"/>
        <v>451773.07771677856</v>
      </c>
      <c r="EM16" s="80">
        <f t="shared" si="111"/>
        <v>0</v>
      </c>
      <c r="EN16" s="76" t="s">
        <v>8</v>
      </c>
      <c r="EO16" s="30" t="s">
        <v>8</v>
      </c>
      <c r="EP16" s="35">
        <f t="shared" si="112"/>
        <v>0.50002906689685744</v>
      </c>
      <c r="EQ16" s="33">
        <f t="shared" si="113"/>
        <v>4.3063162778559927E-2</v>
      </c>
      <c r="ER16" s="34">
        <f t="shared" si="114"/>
        <v>451773.07771677856</v>
      </c>
      <c r="ES16" s="80">
        <f t="shared" si="115"/>
        <v>0</v>
      </c>
      <c r="ET16" s="76" t="s">
        <v>8</v>
      </c>
      <c r="EU16" s="30" t="s">
        <v>8</v>
      </c>
      <c r="EV16" s="35">
        <f t="shared" si="116"/>
        <v>0.50002906689685744</v>
      </c>
      <c r="EW16" s="33">
        <f t="shared" si="117"/>
        <v>4.3063162778559927E-2</v>
      </c>
      <c r="EX16" s="34">
        <f t="shared" si="118"/>
        <v>451773.07771677856</v>
      </c>
      <c r="EY16" s="80">
        <f t="shared" si="119"/>
        <v>0</v>
      </c>
      <c r="EZ16" s="76" t="s">
        <v>8</v>
      </c>
      <c r="FA16" s="30" t="s">
        <v>8</v>
      </c>
      <c r="FB16" s="35">
        <f t="shared" si="120"/>
        <v>0.50002906689685744</v>
      </c>
      <c r="FC16" s="33">
        <f t="shared" si="121"/>
        <v>4.3063162778559927E-2</v>
      </c>
      <c r="FD16" s="34">
        <f t="shared" si="122"/>
        <v>451773.07771677856</v>
      </c>
      <c r="FE16" s="80">
        <f t="shared" si="123"/>
        <v>0</v>
      </c>
      <c r="FF16" s="76" t="s">
        <v>8</v>
      </c>
      <c r="FG16" s="30" t="s">
        <v>8</v>
      </c>
      <c r="FH16" s="35">
        <f t="shared" si="124"/>
        <v>0.50002906689685744</v>
      </c>
      <c r="FI16" s="33">
        <f t="shared" si="125"/>
        <v>4.3063162778559927E-2</v>
      </c>
      <c r="FJ16" s="34">
        <f t="shared" si="126"/>
        <v>451773.07771677856</v>
      </c>
      <c r="FK16" s="80">
        <f t="shared" si="127"/>
        <v>0</v>
      </c>
      <c r="FL16" s="76" t="s">
        <v>8</v>
      </c>
      <c r="FM16" s="30" t="s">
        <v>8</v>
      </c>
      <c r="FN16" s="35">
        <f t="shared" si="128"/>
        <v>0.50002906689685744</v>
      </c>
      <c r="FO16" s="33">
        <f t="shared" si="129"/>
        <v>4.3063162778559927E-2</v>
      </c>
      <c r="FP16" s="34">
        <f t="shared" si="130"/>
        <v>451773.07771677856</v>
      </c>
      <c r="FQ16" s="80">
        <f t="shared" si="131"/>
        <v>0</v>
      </c>
      <c r="FR16" s="76" t="s">
        <v>8</v>
      </c>
      <c r="FS16" s="30" t="s">
        <v>8</v>
      </c>
      <c r="FT16" s="35">
        <f t="shared" si="132"/>
        <v>0.50002906689685744</v>
      </c>
      <c r="FU16" s="33">
        <f t="shared" si="133"/>
        <v>4.3063162778559927E-2</v>
      </c>
      <c r="FV16" s="34">
        <f t="shared" si="134"/>
        <v>451773.07771677856</v>
      </c>
      <c r="FW16" s="80">
        <f t="shared" si="135"/>
        <v>0</v>
      </c>
      <c r="FX16" s="76" t="s">
        <v>8</v>
      </c>
      <c r="FY16" s="30" t="s">
        <v>8</v>
      </c>
      <c r="FZ16" s="35">
        <f t="shared" si="136"/>
        <v>0.50002906689685744</v>
      </c>
      <c r="GA16" s="33">
        <f t="shared" si="137"/>
        <v>4.3063162778559927E-2</v>
      </c>
      <c r="GB16" s="34">
        <f t="shared" si="138"/>
        <v>451773.07771677856</v>
      </c>
      <c r="GC16" s="80">
        <f t="shared" si="139"/>
        <v>0</v>
      </c>
      <c r="GD16" s="76" t="s">
        <v>8</v>
      </c>
      <c r="GE16" s="30" t="s">
        <v>8</v>
      </c>
      <c r="GF16" s="35">
        <f t="shared" si="140"/>
        <v>0.50002906689685744</v>
      </c>
      <c r="GG16" s="33">
        <f t="shared" si="141"/>
        <v>4.3063162778559927E-2</v>
      </c>
      <c r="GH16" s="34">
        <f t="shared" si="142"/>
        <v>451773.07771677856</v>
      </c>
      <c r="GI16" s="128">
        <f t="shared" si="143"/>
        <v>0</v>
      </c>
      <c r="GJ16" s="176">
        <f t="shared" si="146"/>
        <v>1913868.8172982135</v>
      </c>
      <c r="GK16" s="99">
        <f t="shared" si="144"/>
        <v>2013037.5737625051</v>
      </c>
      <c r="GL16" s="217">
        <f t="shared" si="145"/>
        <v>0.50002906689685733</v>
      </c>
      <c r="GM16" s="231">
        <f t="shared" si="147"/>
        <v>2013037.57</v>
      </c>
      <c r="GN16" s="233"/>
    </row>
    <row r="17" spans="1:196" ht="15.75" x14ac:dyDescent="0.25">
      <c r="A17" s="162" t="s">
        <v>182</v>
      </c>
      <c r="B17" s="164" t="s">
        <v>8</v>
      </c>
      <c r="C17" s="164" t="s">
        <v>8</v>
      </c>
      <c r="D17" s="164" t="s">
        <v>8</v>
      </c>
      <c r="E17" s="164" t="s">
        <v>8</v>
      </c>
      <c r="F17" s="164" t="s">
        <v>8</v>
      </c>
      <c r="G17" s="108">
        <f>'Исходные данные'!C19</f>
        <v>489</v>
      </c>
      <c r="H17" s="49">
        <f>'Исходные данные'!E19</f>
        <v>163146.64195296526</v>
      </c>
      <c r="I17" s="32">
        <f>'Расчет КРП'!G15</f>
        <v>6.6931294280625373</v>
      </c>
      <c r="J17" s="115" t="s">
        <v>8</v>
      </c>
      <c r="K17" s="119">
        <f t="shared" si="22"/>
        <v>3.8326882906994292E-2</v>
      </c>
      <c r="L17" s="77">
        <f t="shared" si="23"/>
        <v>89636.824234821877</v>
      </c>
      <c r="M17" s="73">
        <f t="shared" si="24"/>
        <v>5.9384625962430833E-2</v>
      </c>
      <c r="N17" s="30" t="s">
        <v>8</v>
      </c>
      <c r="O17" s="33">
        <f t="shared" si="25"/>
        <v>9.4941376426750129E-2</v>
      </c>
      <c r="P17" s="34">
        <f t="shared" si="26"/>
        <v>461098.60306175804</v>
      </c>
      <c r="Q17" s="80">
        <f t="shared" si="27"/>
        <v>461098.60306175804</v>
      </c>
      <c r="R17" s="169" t="s">
        <v>8</v>
      </c>
      <c r="S17" s="30" t="s">
        <v>8</v>
      </c>
      <c r="T17" s="35">
        <f t="shared" si="28"/>
        <v>0.16770724882843849</v>
      </c>
      <c r="U17" s="33">
        <f t="shared" si="29"/>
        <v>8.8538511563339167E-2</v>
      </c>
      <c r="V17" s="53">
        <f t="shared" si="30"/>
        <v>551414.13875636703</v>
      </c>
      <c r="W17" s="80">
        <f t="shared" si="31"/>
        <v>551414.13875636703</v>
      </c>
      <c r="X17" s="76" t="s">
        <v>8</v>
      </c>
      <c r="Y17" s="30" t="s">
        <v>8</v>
      </c>
      <c r="Z17" s="35">
        <f t="shared" si="32"/>
        <v>0.29724705961700038</v>
      </c>
      <c r="AA17" s="33">
        <f t="shared" si="33"/>
        <v>6.9813379328338587E-2</v>
      </c>
      <c r="AB17" s="53">
        <f t="shared" si="34"/>
        <v>543939.67216989608</v>
      </c>
      <c r="AC17" s="80">
        <f t="shared" si="35"/>
        <v>543939.67216989608</v>
      </c>
      <c r="AD17" s="76" t="s">
        <v>8</v>
      </c>
      <c r="AE17" s="30" t="s">
        <v>8</v>
      </c>
      <c r="AF17" s="35">
        <f t="shared" si="36"/>
        <v>0.42503094700914634</v>
      </c>
      <c r="AG17" s="33">
        <f t="shared" si="37"/>
        <v>5.3617396587686772E-2</v>
      </c>
      <c r="AH17" s="53">
        <f t="shared" si="38"/>
        <v>501282.71362499532</v>
      </c>
      <c r="AI17" s="80">
        <f t="shared" si="39"/>
        <v>319145.31416227913</v>
      </c>
      <c r="AJ17" s="76" t="s">
        <v>8</v>
      </c>
      <c r="AK17" s="30" t="s">
        <v>8</v>
      </c>
      <c r="AL17" s="35">
        <f t="shared" si="40"/>
        <v>0.50000549101318403</v>
      </c>
      <c r="AM17" s="33">
        <f t="shared" si="41"/>
        <v>4.3086738662233337E-2</v>
      </c>
      <c r="AN17" s="53">
        <f t="shared" si="42"/>
        <v>441907.2561854042</v>
      </c>
      <c r="AO17" s="80">
        <f t="shared" si="43"/>
        <v>0</v>
      </c>
      <c r="AP17" s="76" t="s">
        <v>8</v>
      </c>
      <c r="AQ17" s="30" t="s">
        <v>8</v>
      </c>
      <c r="AR17" s="35">
        <f t="shared" si="44"/>
        <v>0.50000549101318403</v>
      </c>
      <c r="AS17" s="33">
        <f t="shared" si="45"/>
        <v>4.3086738662233337E-2</v>
      </c>
      <c r="AT17" s="53">
        <f t="shared" si="46"/>
        <v>441907.2561854042</v>
      </c>
      <c r="AU17" s="80">
        <f t="shared" si="47"/>
        <v>0</v>
      </c>
      <c r="AV17" s="76" t="s">
        <v>8</v>
      </c>
      <c r="AW17" s="30" t="s">
        <v>8</v>
      </c>
      <c r="AX17" s="35">
        <f t="shared" si="48"/>
        <v>0.50000549101318403</v>
      </c>
      <c r="AY17" s="33">
        <f t="shared" si="49"/>
        <v>4.3086738662233337E-2</v>
      </c>
      <c r="AZ17" s="53">
        <f t="shared" si="50"/>
        <v>441907.2561854042</v>
      </c>
      <c r="BA17" s="80">
        <f t="shared" si="51"/>
        <v>0</v>
      </c>
      <c r="BB17" s="76" t="s">
        <v>8</v>
      </c>
      <c r="BC17" s="30" t="s">
        <v>8</v>
      </c>
      <c r="BD17" s="35">
        <f t="shared" si="52"/>
        <v>0.50000549101318403</v>
      </c>
      <c r="BE17" s="33">
        <f t="shared" si="53"/>
        <v>4.3086738662233337E-2</v>
      </c>
      <c r="BF17" s="53">
        <f t="shared" si="54"/>
        <v>441907.2561854042</v>
      </c>
      <c r="BG17" s="80">
        <f t="shared" si="55"/>
        <v>0</v>
      </c>
      <c r="BH17" s="76" t="s">
        <v>8</v>
      </c>
      <c r="BI17" s="30" t="s">
        <v>8</v>
      </c>
      <c r="BJ17" s="35">
        <f t="shared" si="56"/>
        <v>0.50000549101318403</v>
      </c>
      <c r="BK17" s="33">
        <f t="shared" si="57"/>
        <v>4.3086738662233337E-2</v>
      </c>
      <c r="BL17" s="53">
        <f t="shared" si="58"/>
        <v>441907.2561854042</v>
      </c>
      <c r="BM17" s="80">
        <f t="shared" si="59"/>
        <v>0</v>
      </c>
      <c r="BN17" s="76" t="s">
        <v>8</v>
      </c>
      <c r="BO17" s="30" t="s">
        <v>8</v>
      </c>
      <c r="BP17" s="35">
        <f t="shared" si="60"/>
        <v>0.50000549101318403</v>
      </c>
      <c r="BQ17" s="33">
        <f t="shared" si="61"/>
        <v>4.3086738662233337E-2</v>
      </c>
      <c r="BR17" s="53">
        <f t="shared" si="62"/>
        <v>441907.2561854042</v>
      </c>
      <c r="BS17" s="128">
        <f t="shared" si="63"/>
        <v>0</v>
      </c>
      <c r="BT17" s="76" t="s">
        <v>8</v>
      </c>
      <c r="BU17" s="30" t="s">
        <v>8</v>
      </c>
      <c r="BV17" s="35">
        <f t="shared" si="64"/>
        <v>0.50000549101318403</v>
      </c>
      <c r="BW17" s="33">
        <f t="shared" si="65"/>
        <v>4.3086738662233337E-2</v>
      </c>
      <c r="BX17" s="53">
        <f t="shared" si="66"/>
        <v>441907.2561854042</v>
      </c>
      <c r="BY17" s="128">
        <f t="shared" si="67"/>
        <v>0</v>
      </c>
      <c r="BZ17" s="76" t="s">
        <v>8</v>
      </c>
      <c r="CA17" s="30" t="s">
        <v>8</v>
      </c>
      <c r="CB17" s="35">
        <f t="shared" si="68"/>
        <v>0.50000549101318403</v>
      </c>
      <c r="CC17" s="33">
        <f t="shared" si="69"/>
        <v>4.3086738662233337E-2</v>
      </c>
      <c r="CD17" s="53">
        <f t="shared" si="70"/>
        <v>441907.2561854042</v>
      </c>
      <c r="CE17" s="128">
        <f t="shared" si="71"/>
        <v>0</v>
      </c>
      <c r="CF17" s="76" t="s">
        <v>8</v>
      </c>
      <c r="CG17" s="30" t="s">
        <v>8</v>
      </c>
      <c r="CH17" s="35">
        <f t="shared" si="72"/>
        <v>0.50000549101318403</v>
      </c>
      <c r="CI17" s="33">
        <f t="shared" si="73"/>
        <v>4.3086738662233337E-2</v>
      </c>
      <c r="CJ17" s="53">
        <f t="shared" si="74"/>
        <v>441907.2561854042</v>
      </c>
      <c r="CK17" s="128">
        <f t="shared" si="75"/>
        <v>0</v>
      </c>
      <c r="CL17" s="76" t="s">
        <v>8</v>
      </c>
      <c r="CM17" s="30" t="s">
        <v>8</v>
      </c>
      <c r="CN17" s="35">
        <f t="shared" si="76"/>
        <v>0.50000549101318403</v>
      </c>
      <c r="CO17" s="33">
        <f t="shared" si="77"/>
        <v>4.3086738662233337E-2</v>
      </c>
      <c r="CP17" s="53">
        <f t="shared" si="78"/>
        <v>441907.2561854042</v>
      </c>
      <c r="CQ17" s="128">
        <f t="shared" si="79"/>
        <v>0</v>
      </c>
      <c r="CR17" s="76" t="s">
        <v>8</v>
      </c>
      <c r="CS17" s="30" t="s">
        <v>8</v>
      </c>
      <c r="CT17" s="35">
        <f t="shared" si="80"/>
        <v>0.50000549101318403</v>
      </c>
      <c r="CU17" s="33">
        <f t="shared" si="81"/>
        <v>4.3086738662233337E-2</v>
      </c>
      <c r="CV17" s="53">
        <f t="shared" si="82"/>
        <v>441907.2561854042</v>
      </c>
      <c r="CW17" s="128">
        <f t="shared" si="83"/>
        <v>0</v>
      </c>
      <c r="CX17" s="76" t="s">
        <v>8</v>
      </c>
      <c r="CY17" s="30" t="s">
        <v>8</v>
      </c>
      <c r="CZ17" s="35">
        <f t="shared" si="84"/>
        <v>0.50000549101318403</v>
      </c>
      <c r="DA17" s="33">
        <f t="shared" si="85"/>
        <v>4.3086738662233337E-2</v>
      </c>
      <c r="DB17" s="53">
        <f t="shared" si="86"/>
        <v>441907.2561854042</v>
      </c>
      <c r="DC17" s="128">
        <f t="shared" si="87"/>
        <v>0</v>
      </c>
      <c r="DD17" s="76" t="s">
        <v>8</v>
      </c>
      <c r="DE17" s="30" t="s">
        <v>8</v>
      </c>
      <c r="DF17" s="35">
        <f t="shared" si="88"/>
        <v>0.50000549101318403</v>
      </c>
      <c r="DG17" s="33">
        <f t="shared" si="89"/>
        <v>4.3086738662233337E-2</v>
      </c>
      <c r="DH17" s="53">
        <f t="shared" si="90"/>
        <v>441907.2561854042</v>
      </c>
      <c r="DI17" s="128">
        <f t="shared" si="91"/>
        <v>0</v>
      </c>
      <c r="DJ17" s="76" t="s">
        <v>8</v>
      </c>
      <c r="DK17" s="30" t="s">
        <v>8</v>
      </c>
      <c r="DL17" s="35">
        <f t="shared" si="92"/>
        <v>0.50000549101318403</v>
      </c>
      <c r="DM17" s="33">
        <f t="shared" si="93"/>
        <v>4.3086738662233337E-2</v>
      </c>
      <c r="DN17" s="53">
        <f t="shared" si="94"/>
        <v>441907.2561854042</v>
      </c>
      <c r="DO17" s="128">
        <f t="shared" si="95"/>
        <v>0</v>
      </c>
      <c r="DP17" s="76" t="s">
        <v>8</v>
      </c>
      <c r="DQ17" s="30" t="s">
        <v>8</v>
      </c>
      <c r="DR17" s="35">
        <f t="shared" si="96"/>
        <v>0.50000549101318403</v>
      </c>
      <c r="DS17" s="33">
        <f t="shared" si="97"/>
        <v>4.3086738662233337E-2</v>
      </c>
      <c r="DT17" s="53">
        <f t="shared" si="98"/>
        <v>441907.2561854042</v>
      </c>
      <c r="DU17" s="128">
        <f t="shared" si="99"/>
        <v>0</v>
      </c>
      <c r="DV17" s="76" t="s">
        <v>8</v>
      </c>
      <c r="DW17" s="30" t="s">
        <v>8</v>
      </c>
      <c r="DX17" s="35">
        <f t="shared" si="100"/>
        <v>0.50000549101318403</v>
      </c>
      <c r="DY17" s="33">
        <f t="shared" si="101"/>
        <v>4.3086738662233337E-2</v>
      </c>
      <c r="DZ17" s="34">
        <f t="shared" si="102"/>
        <v>441907.2561854042</v>
      </c>
      <c r="EA17" s="80">
        <f t="shared" si="103"/>
        <v>0</v>
      </c>
      <c r="EB17" s="76" t="s">
        <v>8</v>
      </c>
      <c r="EC17" s="30" t="s">
        <v>8</v>
      </c>
      <c r="ED17" s="35">
        <f t="shared" si="104"/>
        <v>0.50000549101318403</v>
      </c>
      <c r="EE17" s="33">
        <f t="shared" si="105"/>
        <v>4.3086738662233337E-2</v>
      </c>
      <c r="EF17" s="34">
        <f t="shared" si="106"/>
        <v>441907.2561854042</v>
      </c>
      <c r="EG17" s="80">
        <f t="shared" si="107"/>
        <v>0</v>
      </c>
      <c r="EH17" s="76" t="s">
        <v>8</v>
      </c>
      <c r="EI17" s="30" t="s">
        <v>8</v>
      </c>
      <c r="EJ17" s="35">
        <f t="shared" si="108"/>
        <v>0.50000549101318403</v>
      </c>
      <c r="EK17" s="33">
        <f t="shared" si="109"/>
        <v>4.3086738662233337E-2</v>
      </c>
      <c r="EL17" s="34">
        <f t="shared" si="110"/>
        <v>441907.2561854042</v>
      </c>
      <c r="EM17" s="80">
        <f t="shared" si="111"/>
        <v>0</v>
      </c>
      <c r="EN17" s="76" t="s">
        <v>8</v>
      </c>
      <c r="EO17" s="30" t="s">
        <v>8</v>
      </c>
      <c r="EP17" s="35">
        <f t="shared" si="112"/>
        <v>0.50000549101318403</v>
      </c>
      <c r="EQ17" s="33">
        <f t="shared" si="113"/>
        <v>4.3086738662233337E-2</v>
      </c>
      <c r="ER17" s="34">
        <f t="shared" si="114"/>
        <v>441907.2561854042</v>
      </c>
      <c r="ES17" s="80">
        <f t="shared" si="115"/>
        <v>0</v>
      </c>
      <c r="ET17" s="76" t="s">
        <v>8</v>
      </c>
      <c r="EU17" s="30" t="s">
        <v>8</v>
      </c>
      <c r="EV17" s="35">
        <f t="shared" si="116"/>
        <v>0.50000549101318403</v>
      </c>
      <c r="EW17" s="33">
        <f t="shared" si="117"/>
        <v>4.3086738662233337E-2</v>
      </c>
      <c r="EX17" s="34">
        <f t="shared" si="118"/>
        <v>441907.2561854042</v>
      </c>
      <c r="EY17" s="80">
        <f t="shared" si="119"/>
        <v>0</v>
      </c>
      <c r="EZ17" s="76" t="s">
        <v>8</v>
      </c>
      <c r="FA17" s="30" t="s">
        <v>8</v>
      </c>
      <c r="FB17" s="35">
        <f t="shared" si="120"/>
        <v>0.50000549101318403</v>
      </c>
      <c r="FC17" s="33">
        <f t="shared" si="121"/>
        <v>4.3086738662233337E-2</v>
      </c>
      <c r="FD17" s="34">
        <f t="shared" si="122"/>
        <v>441907.2561854042</v>
      </c>
      <c r="FE17" s="80">
        <f t="shared" si="123"/>
        <v>0</v>
      </c>
      <c r="FF17" s="76" t="s">
        <v>8</v>
      </c>
      <c r="FG17" s="30" t="s">
        <v>8</v>
      </c>
      <c r="FH17" s="35">
        <f t="shared" si="124"/>
        <v>0.50000549101318403</v>
      </c>
      <c r="FI17" s="33">
        <f t="shared" si="125"/>
        <v>4.3086738662233337E-2</v>
      </c>
      <c r="FJ17" s="34">
        <f t="shared" si="126"/>
        <v>441907.2561854042</v>
      </c>
      <c r="FK17" s="80">
        <f t="shared" si="127"/>
        <v>0</v>
      </c>
      <c r="FL17" s="76" t="s">
        <v>8</v>
      </c>
      <c r="FM17" s="30" t="s">
        <v>8</v>
      </c>
      <c r="FN17" s="35">
        <f t="shared" si="128"/>
        <v>0.50000549101318403</v>
      </c>
      <c r="FO17" s="33">
        <f t="shared" si="129"/>
        <v>4.3086738662233337E-2</v>
      </c>
      <c r="FP17" s="34">
        <f t="shared" si="130"/>
        <v>441907.2561854042</v>
      </c>
      <c r="FQ17" s="80">
        <f t="shared" si="131"/>
        <v>0</v>
      </c>
      <c r="FR17" s="76" t="s">
        <v>8</v>
      </c>
      <c r="FS17" s="30" t="s">
        <v>8</v>
      </c>
      <c r="FT17" s="35">
        <f t="shared" si="132"/>
        <v>0.50000549101318403</v>
      </c>
      <c r="FU17" s="33">
        <f t="shared" si="133"/>
        <v>4.3086738662233337E-2</v>
      </c>
      <c r="FV17" s="34">
        <f t="shared" si="134"/>
        <v>441907.2561854042</v>
      </c>
      <c r="FW17" s="80">
        <f t="shared" si="135"/>
        <v>0</v>
      </c>
      <c r="FX17" s="76" t="s">
        <v>8</v>
      </c>
      <c r="FY17" s="30" t="s">
        <v>8</v>
      </c>
      <c r="FZ17" s="35">
        <f t="shared" si="136"/>
        <v>0.50000549101318403</v>
      </c>
      <c r="GA17" s="33">
        <f t="shared" si="137"/>
        <v>4.3086738662233337E-2</v>
      </c>
      <c r="GB17" s="34">
        <f t="shared" si="138"/>
        <v>441907.2561854042</v>
      </c>
      <c r="GC17" s="80">
        <f t="shared" si="139"/>
        <v>0</v>
      </c>
      <c r="GD17" s="76" t="s">
        <v>8</v>
      </c>
      <c r="GE17" s="30" t="s">
        <v>8</v>
      </c>
      <c r="GF17" s="35">
        <f t="shared" si="140"/>
        <v>0.50000549101318403</v>
      </c>
      <c r="GG17" s="33">
        <f t="shared" si="141"/>
        <v>4.3086738662233337E-2</v>
      </c>
      <c r="GH17" s="34">
        <f t="shared" si="142"/>
        <v>441907.2561854042</v>
      </c>
      <c r="GI17" s="128">
        <f t="shared" si="143"/>
        <v>0</v>
      </c>
      <c r="GJ17" s="176">
        <f t="shared" si="146"/>
        <v>1875597.7281503002</v>
      </c>
      <c r="GK17" s="99">
        <f t="shared" si="144"/>
        <v>1965234.552385122</v>
      </c>
      <c r="GL17" s="217">
        <f t="shared" si="145"/>
        <v>0.50000549101318414</v>
      </c>
      <c r="GM17" s="231">
        <f t="shared" si="147"/>
        <v>1965234.55</v>
      </c>
      <c r="GN17" s="233"/>
    </row>
    <row r="18" spans="1:196" ht="15.75" x14ac:dyDescent="0.25">
      <c r="A18" s="162" t="s">
        <v>183</v>
      </c>
      <c r="B18" s="164" t="s">
        <v>8</v>
      </c>
      <c r="C18" s="164" t="s">
        <v>8</v>
      </c>
      <c r="D18" s="164" t="s">
        <v>8</v>
      </c>
      <c r="E18" s="164" t="s">
        <v>8</v>
      </c>
      <c r="F18" s="164" t="s">
        <v>8</v>
      </c>
      <c r="G18" s="108">
        <f>'Исходные данные'!C20</f>
        <v>87</v>
      </c>
      <c r="H18" s="49">
        <f>'Исходные данные'!E20</f>
        <v>40793.972075731945</v>
      </c>
      <c r="I18" s="32">
        <f>'Расчет КРП'!G16</f>
        <v>15.930345833995442</v>
      </c>
      <c r="J18" s="115" t="s">
        <v>8</v>
      </c>
      <c r="K18" s="119">
        <f t="shared" si="22"/>
        <v>2.2631585517534462E-2</v>
      </c>
      <c r="L18" s="77">
        <f t="shared" si="23"/>
        <v>15947.655845459107</v>
      </c>
      <c r="M18" s="73">
        <f t="shared" si="24"/>
        <v>3.1478989158461729E-2</v>
      </c>
      <c r="N18" s="30" t="s">
        <v>8</v>
      </c>
      <c r="O18" s="33">
        <f t="shared" si="25"/>
        <v>0.12284701323071923</v>
      </c>
      <c r="P18" s="34">
        <f t="shared" si="26"/>
        <v>252644.15730245758</v>
      </c>
      <c r="Q18" s="80">
        <f t="shared" si="27"/>
        <v>252644.15730245758</v>
      </c>
      <c r="R18" s="169" t="s">
        <v>8</v>
      </c>
      <c r="S18" s="30" t="s">
        <v>8</v>
      </c>
      <c r="T18" s="35">
        <f t="shared" si="28"/>
        <v>0.17164033066453788</v>
      </c>
      <c r="U18" s="33">
        <f t="shared" si="29"/>
        <v>8.4605429727239778E-2</v>
      </c>
      <c r="V18" s="53">
        <f t="shared" si="30"/>
        <v>223126.05704811981</v>
      </c>
      <c r="W18" s="80">
        <f t="shared" si="31"/>
        <v>223126.05704811981</v>
      </c>
      <c r="X18" s="76" t="s">
        <v>8</v>
      </c>
      <c r="Y18" s="30" t="s">
        <v>8</v>
      </c>
      <c r="Z18" s="35">
        <f t="shared" si="32"/>
        <v>0.29542568875372544</v>
      </c>
      <c r="AA18" s="33">
        <f t="shared" si="33"/>
        <v>7.1634750191613528E-2</v>
      </c>
      <c r="AB18" s="53">
        <f t="shared" si="34"/>
        <v>236342.70380205518</v>
      </c>
      <c r="AC18" s="80">
        <f t="shared" si="35"/>
        <v>236342.70380205518</v>
      </c>
      <c r="AD18" s="76" t="s">
        <v>8</v>
      </c>
      <c r="AE18" s="30" t="s">
        <v>8</v>
      </c>
      <c r="AF18" s="35">
        <f t="shared" si="36"/>
        <v>0.42654334757380152</v>
      </c>
      <c r="AG18" s="33">
        <f t="shared" si="37"/>
        <v>5.2104996023031591E-2</v>
      </c>
      <c r="AH18" s="53">
        <f t="shared" si="38"/>
        <v>206282.6714690568</v>
      </c>
      <c r="AI18" s="80">
        <f t="shared" si="39"/>
        <v>131331.37489651443</v>
      </c>
      <c r="AJ18" s="76" t="s">
        <v>8</v>
      </c>
      <c r="AK18" s="30" t="s">
        <v>8</v>
      </c>
      <c r="AL18" s="35">
        <f t="shared" si="40"/>
        <v>0.49940306411692309</v>
      </c>
      <c r="AM18" s="33">
        <f t="shared" si="41"/>
        <v>4.3689165558494281E-2</v>
      </c>
      <c r="AN18" s="53">
        <f t="shared" si="42"/>
        <v>189743.81774025003</v>
      </c>
      <c r="AO18" s="80">
        <f t="shared" si="43"/>
        <v>0</v>
      </c>
      <c r="AP18" s="76" t="s">
        <v>8</v>
      </c>
      <c r="AQ18" s="30" t="s">
        <v>8</v>
      </c>
      <c r="AR18" s="35">
        <f t="shared" si="44"/>
        <v>0.49940306411692309</v>
      </c>
      <c r="AS18" s="33">
        <f t="shared" si="45"/>
        <v>4.3689165558494281E-2</v>
      </c>
      <c r="AT18" s="53">
        <f t="shared" si="46"/>
        <v>189743.81774025003</v>
      </c>
      <c r="AU18" s="80">
        <f t="shared" si="47"/>
        <v>0</v>
      </c>
      <c r="AV18" s="76" t="s">
        <v>8</v>
      </c>
      <c r="AW18" s="30" t="s">
        <v>8</v>
      </c>
      <c r="AX18" s="35">
        <f t="shared" si="48"/>
        <v>0.49940306411692309</v>
      </c>
      <c r="AY18" s="33">
        <f t="shared" si="49"/>
        <v>4.3689165558494281E-2</v>
      </c>
      <c r="AZ18" s="53">
        <f t="shared" si="50"/>
        <v>189743.81774025003</v>
      </c>
      <c r="BA18" s="80">
        <f t="shared" si="51"/>
        <v>0</v>
      </c>
      <c r="BB18" s="76" t="s">
        <v>8</v>
      </c>
      <c r="BC18" s="30" t="s">
        <v>8</v>
      </c>
      <c r="BD18" s="35">
        <f t="shared" si="52"/>
        <v>0.49940306411692309</v>
      </c>
      <c r="BE18" s="33">
        <f t="shared" si="53"/>
        <v>4.3689165558494281E-2</v>
      </c>
      <c r="BF18" s="53">
        <f t="shared" si="54"/>
        <v>189743.81774025003</v>
      </c>
      <c r="BG18" s="80">
        <f t="shared" si="55"/>
        <v>0</v>
      </c>
      <c r="BH18" s="76" t="s">
        <v>8</v>
      </c>
      <c r="BI18" s="30" t="s">
        <v>8</v>
      </c>
      <c r="BJ18" s="35">
        <f t="shared" si="56"/>
        <v>0.49940306411692309</v>
      </c>
      <c r="BK18" s="33">
        <f t="shared" si="57"/>
        <v>4.3689165558494281E-2</v>
      </c>
      <c r="BL18" s="53">
        <f t="shared" si="58"/>
        <v>189743.81774025003</v>
      </c>
      <c r="BM18" s="80">
        <f t="shared" si="59"/>
        <v>0</v>
      </c>
      <c r="BN18" s="76" t="s">
        <v>8</v>
      </c>
      <c r="BO18" s="30" t="s">
        <v>8</v>
      </c>
      <c r="BP18" s="35">
        <f t="shared" si="60"/>
        <v>0.49940306411692309</v>
      </c>
      <c r="BQ18" s="33">
        <f t="shared" si="61"/>
        <v>4.3689165558494281E-2</v>
      </c>
      <c r="BR18" s="53">
        <f t="shared" si="62"/>
        <v>189743.81774025003</v>
      </c>
      <c r="BS18" s="128">
        <f t="shared" si="63"/>
        <v>0</v>
      </c>
      <c r="BT18" s="76" t="s">
        <v>8</v>
      </c>
      <c r="BU18" s="30" t="s">
        <v>8</v>
      </c>
      <c r="BV18" s="35">
        <f t="shared" si="64"/>
        <v>0.49940306411692309</v>
      </c>
      <c r="BW18" s="33">
        <f t="shared" si="65"/>
        <v>4.3689165558494281E-2</v>
      </c>
      <c r="BX18" s="53">
        <f t="shared" si="66"/>
        <v>189743.81774025003</v>
      </c>
      <c r="BY18" s="128">
        <f t="shared" si="67"/>
        <v>0</v>
      </c>
      <c r="BZ18" s="76" t="s">
        <v>8</v>
      </c>
      <c r="CA18" s="30" t="s">
        <v>8</v>
      </c>
      <c r="CB18" s="35">
        <f t="shared" si="68"/>
        <v>0.49940306411692309</v>
      </c>
      <c r="CC18" s="33">
        <f t="shared" si="69"/>
        <v>4.3689165558494281E-2</v>
      </c>
      <c r="CD18" s="53">
        <f t="shared" si="70"/>
        <v>189743.81774025003</v>
      </c>
      <c r="CE18" s="128">
        <f t="shared" si="71"/>
        <v>0</v>
      </c>
      <c r="CF18" s="76" t="s">
        <v>8</v>
      </c>
      <c r="CG18" s="30" t="s">
        <v>8</v>
      </c>
      <c r="CH18" s="35">
        <f t="shared" si="72"/>
        <v>0.49940306411692309</v>
      </c>
      <c r="CI18" s="33">
        <f t="shared" si="73"/>
        <v>4.3689165558494281E-2</v>
      </c>
      <c r="CJ18" s="53">
        <f t="shared" si="74"/>
        <v>189743.81774025003</v>
      </c>
      <c r="CK18" s="128">
        <f t="shared" si="75"/>
        <v>0</v>
      </c>
      <c r="CL18" s="76" t="s">
        <v>8</v>
      </c>
      <c r="CM18" s="30" t="s">
        <v>8</v>
      </c>
      <c r="CN18" s="35">
        <f t="shared" si="76"/>
        <v>0.49940306411692309</v>
      </c>
      <c r="CO18" s="33">
        <f t="shared" si="77"/>
        <v>4.3689165558494281E-2</v>
      </c>
      <c r="CP18" s="53">
        <f t="shared" si="78"/>
        <v>189743.81774025003</v>
      </c>
      <c r="CQ18" s="128">
        <f t="shared" si="79"/>
        <v>0</v>
      </c>
      <c r="CR18" s="76" t="s">
        <v>8</v>
      </c>
      <c r="CS18" s="30" t="s">
        <v>8</v>
      </c>
      <c r="CT18" s="35">
        <f t="shared" si="80"/>
        <v>0.49940306411692309</v>
      </c>
      <c r="CU18" s="33">
        <f t="shared" si="81"/>
        <v>4.3689165558494281E-2</v>
      </c>
      <c r="CV18" s="53">
        <f t="shared" si="82"/>
        <v>189743.81774025003</v>
      </c>
      <c r="CW18" s="128">
        <f t="shared" si="83"/>
        <v>0</v>
      </c>
      <c r="CX18" s="76" t="s">
        <v>8</v>
      </c>
      <c r="CY18" s="30" t="s">
        <v>8</v>
      </c>
      <c r="CZ18" s="35">
        <f t="shared" si="84"/>
        <v>0.49940306411692309</v>
      </c>
      <c r="DA18" s="33">
        <f t="shared" si="85"/>
        <v>4.3689165558494281E-2</v>
      </c>
      <c r="DB18" s="53">
        <f t="shared" si="86"/>
        <v>189743.81774025003</v>
      </c>
      <c r="DC18" s="128">
        <f t="shared" si="87"/>
        <v>0</v>
      </c>
      <c r="DD18" s="76" t="s">
        <v>8</v>
      </c>
      <c r="DE18" s="30" t="s">
        <v>8</v>
      </c>
      <c r="DF18" s="35">
        <f t="shared" si="88"/>
        <v>0.49940306411692309</v>
      </c>
      <c r="DG18" s="33">
        <f t="shared" si="89"/>
        <v>4.3689165558494281E-2</v>
      </c>
      <c r="DH18" s="53">
        <f t="shared" si="90"/>
        <v>189743.81774025003</v>
      </c>
      <c r="DI18" s="128">
        <f t="shared" si="91"/>
        <v>0</v>
      </c>
      <c r="DJ18" s="76" t="s">
        <v>8</v>
      </c>
      <c r="DK18" s="30" t="s">
        <v>8</v>
      </c>
      <c r="DL18" s="35">
        <f t="shared" si="92"/>
        <v>0.49940306411692309</v>
      </c>
      <c r="DM18" s="33">
        <f t="shared" si="93"/>
        <v>4.3689165558494281E-2</v>
      </c>
      <c r="DN18" s="53">
        <f t="shared" si="94"/>
        <v>189743.81774025003</v>
      </c>
      <c r="DO18" s="128">
        <f t="shared" si="95"/>
        <v>0</v>
      </c>
      <c r="DP18" s="76" t="s">
        <v>8</v>
      </c>
      <c r="DQ18" s="30" t="s">
        <v>8</v>
      </c>
      <c r="DR18" s="35">
        <f t="shared" si="96"/>
        <v>0.49940306411692309</v>
      </c>
      <c r="DS18" s="33">
        <f t="shared" si="97"/>
        <v>4.3689165558494281E-2</v>
      </c>
      <c r="DT18" s="53">
        <f t="shared" si="98"/>
        <v>189743.81774025003</v>
      </c>
      <c r="DU18" s="128">
        <f t="shared" si="99"/>
        <v>0</v>
      </c>
      <c r="DV18" s="76" t="s">
        <v>8</v>
      </c>
      <c r="DW18" s="30" t="s">
        <v>8</v>
      </c>
      <c r="DX18" s="35">
        <f t="shared" si="100"/>
        <v>0.49940306411692309</v>
      </c>
      <c r="DY18" s="33">
        <f t="shared" si="101"/>
        <v>4.3689165558494281E-2</v>
      </c>
      <c r="DZ18" s="34">
        <f t="shared" si="102"/>
        <v>189743.81774025003</v>
      </c>
      <c r="EA18" s="80">
        <f t="shared" si="103"/>
        <v>0</v>
      </c>
      <c r="EB18" s="76" t="s">
        <v>8</v>
      </c>
      <c r="EC18" s="30" t="s">
        <v>8</v>
      </c>
      <c r="ED18" s="35">
        <f t="shared" si="104"/>
        <v>0.49940306411692309</v>
      </c>
      <c r="EE18" s="33">
        <f t="shared" si="105"/>
        <v>4.3689165558494281E-2</v>
      </c>
      <c r="EF18" s="34">
        <f t="shared" si="106"/>
        <v>189743.81774025003</v>
      </c>
      <c r="EG18" s="80">
        <f t="shared" si="107"/>
        <v>0</v>
      </c>
      <c r="EH18" s="76" t="s">
        <v>8</v>
      </c>
      <c r="EI18" s="30" t="s">
        <v>8</v>
      </c>
      <c r="EJ18" s="35">
        <f t="shared" si="108"/>
        <v>0.49940306411692309</v>
      </c>
      <c r="EK18" s="33">
        <f t="shared" si="109"/>
        <v>4.3689165558494281E-2</v>
      </c>
      <c r="EL18" s="34">
        <f t="shared" si="110"/>
        <v>189743.81774025003</v>
      </c>
      <c r="EM18" s="80">
        <f t="shared" si="111"/>
        <v>0</v>
      </c>
      <c r="EN18" s="76" t="s">
        <v>8</v>
      </c>
      <c r="EO18" s="30" t="s">
        <v>8</v>
      </c>
      <c r="EP18" s="35">
        <f t="shared" si="112"/>
        <v>0.49940306411692309</v>
      </c>
      <c r="EQ18" s="33">
        <f t="shared" si="113"/>
        <v>4.3689165558494281E-2</v>
      </c>
      <c r="ER18" s="34">
        <f t="shared" si="114"/>
        <v>189743.81774025003</v>
      </c>
      <c r="ES18" s="80">
        <f t="shared" si="115"/>
        <v>0</v>
      </c>
      <c r="ET18" s="76" t="s">
        <v>8</v>
      </c>
      <c r="EU18" s="30" t="s">
        <v>8</v>
      </c>
      <c r="EV18" s="35">
        <f t="shared" si="116"/>
        <v>0.49940306411692309</v>
      </c>
      <c r="EW18" s="33">
        <f t="shared" si="117"/>
        <v>4.3689165558494281E-2</v>
      </c>
      <c r="EX18" s="34">
        <f t="shared" si="118"/>
        <v>189743.81774025003</v>
      </c>
      <c r="EY18" s="80">
        <f t="shared" si="119"/>
        <v>0</v>
      </c>
      <c r="EZ18" s="76" t="s">
        <v>8</v>
      </c>
      <c r="FA18" s="30" t="s">
        <v>8</v>
      </c>
      <c r="FB18" s="35">
        <f t="shared" si="120"/>
        <v>0.49940306411692309</v>
      </c>
      <c r="FC18" s="33">
        <f t="shared" si="121"/>
        <v>4.3689165558494281E-2</v>
      </c>
      <c r="FD18" s="34">
        <f t="shared" si="122"/>
        <v>189743.81774025003</v>
      </c>
      <c r="FE18" s="80">
        <f t="shared" si="123"/>
        <v>0</v>
      </c>
      <c r="FF18" s="76" t="s">
        <v>8</v>
      </c>
      <c r="FG18" s="30" t="s">
        <v>8</v>
      </c>
      <c r="FH18" s="35">
        <f t="shared" si="124"/>
        <v>0.49940306411692309</v>
      </c>
      <c r="FI18" s="33">
        <f t="shared" si="125"/>
        <v>4.3689165558494281E-2</v>
      </c>
      <c r="FJ18" s="34">
        <f t="shared" si="126"/>
        <v>189743.81774025003</v>
      </c>
      <c r="FK18" s="80">
        <f t="shared" si="127"/>
        <v>0</v>
      </c>
      <c r="FL18" s="76" t="s">
        <v>8</v>
      </c>
      <c r="FM18" s="30" t="s">
        <v>8</v>
      </c>
      <c r="FN18" s="35">
        <f t="shared" si="128"/>
        <v>0.49940306411692309</v>
      </c>
      <c r="FO18" s="33">
        <f t="shared" si="129"/>
        <v>4.3689165558494281E-2</v>
      </c>
      <c r="FP18" s="34">
        <f t="shared" si="130"/>
        <v>189743.81774025003</v>
      </c>
      <c r="FQ18" s="80">
        <f t="shared" si="131"/>
        <v>0</v>
      </c>
      <c r="FR18" s="76" t="s">
        <v>8</v>
      </c>
      <c r="FS18" s="30" t="s">
        <v>8</v>
      </c>
      <c r="FT18" s="35">
        <f t="shared" si="132"/>
        <v>0.49940306411692309</v>
      </c>
      <c r="FU18" s="33">
        <f t="shared" si="133"/>
        <v>4.3689165558494281E-2</v>
      </c>
      <c r="FV18" s="34">
        <f t="shared" si="134"/>
        <v>189743.81774025003</v>
      </c>
      <c r="FW18" s="80">
        <f t="shared" si="135"/>
        <v>0</v>
      </c>
      <c r="FX18" s="76" t="s">
        <v>8</v>
      </c>
      <c r="FY18" s="30" t="s">
        <v>8</v>
      </c>
      <c r="FZ18" s="35">
        <f t="shared" si="136"/>
        <v>0.49940306411692309</v>
      </c>
      <c r="GA18" s="33">
        <f t="shared" si="137"/>
        <v>4.3689165558494281E-2</v>
      </c>
      <c r="GB18" s="34">
        <f t="shared" si="138"/>
        <v>189743.81774025003</v>
      </c>
      <c r="GC18" s="80">
        <f t="shared" si="139"/>
        <v>0</v>
      </c>
      <c r="GD18" s="76" t="s">
        <v>8</v>
      </c>
      <c r="GE18" s="30" t="s">
        <v>8</v>
      </c>
      <c r="GF18" s="35">
        <f t="shared" si="140"/>
        <v>0.49940306411692309</v>
      </c>
      <c r="GG18" s="33">
        <f t="shared" si="141"/>
        <v>4.3689165558494281E-2</v>
      </c>
      <c r="GH18" s="34">
        <f t="shared" si="142"/>
        <v>189743.81774025003</v>
      </c>
      <c r="GI18" s="128">
        <f t="shared" si="143"/>
        <v>0</v>
      </c>
      <c r="GJ18" s="176">
        <f t="shared" si="146"/>
        <v>843444.293049147</v>
      </c>
      <c r="GK18" s="99">
        <f t="shared" si="144"/>
        <v>859391.94889460609</v>
      </c>
      <c r="GL18" s="217">
        <f t="shared" si="145"/>
        <v>0.49940306411692303</v>
      </c>
      <c r="GM18" s="231">
        <f t="shared" si="147"/>
        <v>859391.95</v>
      </c>
      <c r="GN18" s="233"/>
    </row>
    <row r="19" spans="1:196" ht="15.75" x14ac:dyDescent="0.25">
      <c r="A19" s="162" t="s">
        <v>184</v>
      </c>
      <c r="B19" s="164" t="s">
        <v>8</v>
      </c>
      <c r="C19" s="164" t="s">
        <v>8</v>
      </c>
      <c r="D19" s="164" t="s">
        <v>8</v>
      </c>
      <c r="E19" s="164" t="s">
        <v>8</v>
      </c>
      <c r="F19" s="164" t="s">
        <v>8</v>
      </c>
      <c r="G19" s="108">
        <f>'Исходные данные'!C21</f>
        <v>527</v>
      </c>
      <c r="H19" s="49">
        <f>'Исходные данные'!E21</f>
        <v>143571.36205299973</v>
      </c>
      <c r="I19" s="32">
        <f>'Расчет КРП'!G17</f>
        <v>4.8410037950664133</v>
      </c>
      <c r="J19" s="115" t="s">
        <v>8</v>
      </c>
      <c r="K19" s="119">
        <f t="shared" si="22"/>
        <v>4.3269833625872584E-2</v>
      </c>
      <c r="L19" s="77">
        <f t="shared" si="23"/>
        <v>96602.467017895964</v>
      </c>
      <c r="M19" s="73">
        <f t="shared" si="24"/>
        <v>7.2384084657148268E-2</v>
      </c>
      <c r="N19" s="30" t="s">
        <v>8</v>
      </c>
      <c r="O19" s="33">
        <f t="shared" si="25"/>
        <v>8.1941917732032687E-2</v>
      </c>
      <c r="P19" s="34">
        <f t="shared" si="26"/>
        <v>310207.54917069565</v>
      </c>
      <c r="Q19" s="80">
        <f t="shared" si="27"/>
        <v>310207.54917069565</v>
      </c>
      <c r="R19" s="169" t="s">
        <v>8</v>
      </c>
      <c r="S19" s="30" t="s">
        <v>8</v>
      </c>
      <c r="T19" s="35">
        <f t="shared" si="28"/>
        <v>0.16587507652466774</v>
      </c>
      <c r="U19" s="33">
        <f t="shared" si="29"/>
        <v>9.0370683867109919E-2</v>
      </c>
      <c r="V19" s="53">
        <f t="shared" si="30"/>
        <v>438713.70910211792</v>
      </c>
      <c r="W19" s="80">
        <f t="shared" si="31"/>
        <v>438713.70910211792</v>
      </c>
      <c r="X19" s="76" t="s">
        <v>8</v>
      </c>
      <c r="Y19" s="30" t="s">
        <v>8</v>
      </c>
      <c r="Z19" s="35">
        <f t="shared" si="32"/>
        <v>0.29809552028719516</v>
      </c>
      <c r="AA19" s="33">
        <f t="shared" si="33"/>
        <v>6.8964918658143803E-2</v>
      </c>
      <c r="AB19" s="53">
        <f t="shared" si="34"/>
        <v>418840.10407754272</v>
      </c>
      <c r="AC19" s="80">
        <f t="shared" si="35"/>
        <v>418840.10407754272</v>
      </c>
      <c r="AD19" s="76" t="s">
        <v>8</v>
      </c>
      <c r="AE19" s="30" t="s">
        <v>8</v>
      </c>
      <c r="AF19" s="35">
        <f t="shared" si="36"/>
        <v>0.42432641592074238</v>
      </c>
      <c r="AG19" s="33">
        <f t="shared" si="37"/>
        <v>5.4321927676090731E-2</v>
      </c>
      <c r="AH19" s="53">
        <f t="shared" si="38"/>
        <v>395876.87619138276</v>
      </c>
      <c r="AI19" s="80">
        <f t="shared" si="39"/>
        <v>252037.91510791238</v>
      </c>
      <c r="AJ19" s="76" t="s">
        <v>8</v>
      </c>
      <c r="AK19" s="30" t="s">
        <v>8</v>
      </c>
      <c r="AL19" s="35">
        <f t="shared" si="40"/>
        <v>0.50028612333164868</v>
      </c>
      <c r="AM19" s="33">
        <f t="shared" si="41"/>
        <v>4.2806106343768691E-2</v>
      </c>
      <c r="AN19" s="53">
        <f t="shared" si="42"/>
        <v>342216.69465452561</v>
      </c>
      <c r="AO19" s="80">
        <f t="shared" si="43"/>
        <v>0</v>
      </c>
      <c r="AP19" s="76" t="s">
        <v>8</v>
      </c>
      <c r="AQ19" s="30" t="s">
        <v>8</v>
      </c>
      <c r="AR19" s="35">
        <f t="shared" si="44"/>
        <v>0.50028612333164868</v>
      </c>
      <c r="AS19" s="33">
        <f t="shared" si="45"/>
        <v>4.2806106343768691E-2</v>
      </c>
      <c r="AT19" s="53">
        <f t="shared" si="46"/>
        <v>342216.69465452561</v>
      </c>
      <c r="AU19" s="80">
        <f t="shared" si="47"/>
        <v>0</v>
      </c>
      <c r="AV19" s="76" t="s">
        <v>8</v>
      </c>
      <c r="AW19" s="30" t="s">
        <v>8</v>
      </c>
      <c r="AX19" s="35">
        <f t="shared" si="48"/>
        <v>0.50028612333164868</v>
      </c>
      <c r="AY19" s="33">
        <f t="shared" si="49"/>
        <v>4.2806106343768691E-2</v>
      </c>
      <c r="AZ19" s="53">
        <f t="shared" si="50"/>
        <v>342216.69465452561</v>
      </c>
      <c r="BA19" s="80">
        <f t="shared" si="51"/>
        <v>0</v>
      </c>
      <c r="BB19" s="76" t="s">
        <v>8</v>
      </c>
      <c r="BC19" s="30" t="s">
        <v>8</v>
      </c>
      <c r="BD19" s="35">
        <f t="shared" si="52"/>
        <v>0.50028612333164868</v>
      </c>
      <c r="BE19" s="33">
        <f t="shared" si="53"/>
        <v>4.2806106343768691E-2</v>
      </c>
      <c r="BF19" s="53">
        <f t="shared" si="54"/>
        <v>342216.69465452561</v>
      </c>
      <c r="BG19" s="80">
        <f t="shared" si="55"/>
        <v>0</v>
      </c>
      <c r="BH19" s="76" t="s">
        <v>8</v>
      </c>
      <c r="BI19" s="30" t="s">
        <v>8</v>
      </c>
      <c r="BJ19" s="35">
        <f t="shared" si="56"/>
        <v>0.50028612333164868</v>
      </c>
      <c r="BK19" s="33">
        <f t="shared" si="57"/>
        <v>4.2806106343768691E-2</v>
      </c>
      <c r="BL19" s="53">
        <f t="shared" si="58"/>
        <v>342216.69465452561</v>
      </c>
      <c r="BM19" s="80">
        <f t="shared" si="59"/>
        <v>0</v>
      </c>
      <c r="BN19" s="76" t="s">
        <v>8</v>
      </c>
      <c r="BO19" s="30" t="s">
        <v>8</v>
      </c>
      <c r="BP19" s="35">
        <f t="shared" si="60"/>
        <v>0.50028612333164868</v>
      </c>
      <c r="BQ19" s="33">
        <f t="shared" si="61"/>
        <v>4.2806106343768691E-2</v>
      </c>
      <c r="BR19" s="53">
        <f t="shared" si="62"/>
        <v>342216.69465452561</v>
      </c>
      <c r="BS19" s="128">
        <f t="shared" si="63"/>
        <v>0</v>
      </c>
      <c r="BT19" s="76" t="s">
        <v>8</v>
      </c>
      <c r="BU19" s="30" t="s">
        <v>8</v>
      </c>
      <c r="BV19" s="35">
        <f t="shared" si="64"/>
        <v>0.50028612333164868</v>
      </c>
      <c r="BW19" s="33">
        <f t="shared" si="65"/>
        <v>4.2806106343768691E-2</v>
      </c>
      <c r="BX19" s="53">
        <f t="shared" si="66"/>
        <v>342216.69465452561</v>
      </c>
      <c r="BY19" s="128">
        <f t="shared" si="67"/>
        <v>0</v>
      </c>
      <c r="BZ19" s="76" t="s">
        <v>8</v>
      </c>
      <c r="CA19" s="30" t="s">
        <v>8</v>
      </c>
      <c r="CB19" s="35">
        <f t="shared" si="68"/>
        <v>0.50028612333164868</v>
      </c>
      <c r="CC19" s="33">
        <f t="shared" si="69"/>
        <v>4.2806106343768691E-2</v>
      </c>
      <c r="CD19" s="53">
        <f t="shared" si="70"/>
        <v>342216.69465452561</v>
      </c>
      <c r="CE19" s="128">
        <f t="shared" si="71"/>
        <v>0</v>
      </c>
      <c r="CF19" s="76" t="s">
        <v>8</v>
      </c>
      <c r="CG19" s="30" t="s">
        <v>8</v>
      </c>
      <c r="CH19" s="35">
        <f t="shared" si="72"/>
        <v>0.50028612333164868</v>
      </c>
      <c r="CI19" s="33">
        <f t="shared" si="73"/>
        <v>4.2806106343768691E-2</v>
      </c>
      <c r="CJ19" s="53">
        <f t="shared" si="74"/>
        <v>342216.69465452561</v>
      </c>
      <c r="CK19" s="128">
        <f t="shared" si="75"/>
        <v>0</v>
      </c>
      <c r="CL19" s="76" t="s">
        <v>8</v>
      </c>
      <c r="CM19" s="30" t="s">
        <v>8</v>
      </c>
      <c r="CN19" s="35">
        <f t="shared" si="76"/>
        <v>0.50028612333164868</v>
      </c>
      <c r="CO19" s="33">
        <f t="shared" si="77"/>
        <v>4.2806106343768691E-2</v>
      </c>
      <c r="CP19" s="53">
        <f t="shared" si="78"/>
        <v>342216.69465452561</v>
      </c>
      <c r="CQ19" s="128">
        <f t="shared" si="79"/>
        <v>0</v>
      </c>
      <c r="CR19" s="76" t="s">
        <v>8</v>
      </c>
      <c r="CS19" s="30" t="s">
        <v>8</v>
      </c>
      <c r="CT19" s="35">
        <f t="shared" si="80"/>
        <v>0.50028612333164868</v>
      </c>
      <c r="CU19" s="33">
        <f t="shared" si="81"/>
        <v>4.2806106343768691E-2</v>
      </c>
      <c r="CV19" s="53">
        <f t="shared" si="82"/>
        <v>342216.69465452561</v>
      </c>
      <c r="CW19" s="128">
        <f t="shared" si="83"/>
        <v>0</v>
      </c>
      <c r="CX19" s="76" t="s">
        <v>8</v>
      </c>
      <c r="CY19" s="30" t="s">
        <v>8</v>
      </c>
      <c r="CZ19" s="35">
        <f t="shared" si="84"/>
        <v>0.50028612333164868</v>
      </c>
      <c r="DA19" s="33">
        <f t="shared" si="85"/>
        <v>4.2806106343768691E-2</v>
      </c>
      <c r="DB19" s="53">
        <f t="shared" si="86"/>
        <v>342216.69465452561</v>
      </c>
      <c r="DC19" s="128">
        <f t="shared" si="87"/>
        <v>0</v>
      </c>
      <c r="DD19" s="76" t="s">
        <v>8</v>
      </c>
      <c r="DE19" s="30" t="s">
        <v>8</v>
      </c>
      <c r="DF19" s="35">
        <f t="shared" si="88"/>
        <v>0.50028612333164868</v>
      </c>
      <c r="DG19" s="33">
        <f t="shared" si="89"/>
        <v>4.2806106343768691E-2</v>
      </c>
      <c r="DH19" s="53">
        <f t="shared" si="90"/>
        <v>342216.69465452561</v>
      </c>
      <c r="DI19" s="128">
        <f t="shared" si="91"/>
        <v>0</v>
      </c>
      <c r="DJ19" s="76" t="s">
        <v>8</v>
      </c>
      <c r="DK19" s="30" t="s">
        <v>8</v>
      </c>
      <c r="DL19" s="35">
        <f t="shared" si="92"/>
        <v>0.50028612333164868</v>
      </c>
      <c r="DM19" s="33">
        <f t="shared" si="93"/>
        <v>4.2806106343768691E-2</v>
      </c>
      <c r="DN19" s="53">
        <f t="shared" si="94"/>
        <v>342216.69465452561</v>
      </c>
      <c r="DO19" s="128">
        <f t="shared" si="95"/>
        <v>0</v>
      </c>
      <c r="DP19" s="76" t="s">
        <v>8</v>
      </c>
      <c r="DQ19" s="30" t="s">
        <v>8</v>
      </c>
      <c r="DR19" s="35">
        <f t="shared" si="96"/>
        <v>0.50028612333164868</v>
      </c>
      <c r="DS19" s="33">
        <f t="shared" si="97"/>
        <v>4.2806106343768691E-2</v>
      </c>
      <c r="DT19" s="53">
        <f t="shared" si="98"/>
        <v>342216.69465452561</v>
      </c>
      <c r="DU19" s="128">
        <f t="shared" si="99"/>
        <v>0</v>
      </c>
      <c r="DV19" s="76" t="s">
        <v>8</v>
      </c>
      <c r="DW19" s="30" t="s">
        <v>8</v>
      </c>
      <c r="DX19" s="35">
        <f t="shared" si="100"/>
        <v>0.50028612333164868</v>
      </c>
      <c r="DY19" s="33">
        <f t="shared" si="101"/>
        <v>4.2806106343768691E-2</v>
      </c>
      <c r="DZ19" s="34">
        <f t="shared" si="102"/>
        <v>342216.69465452561</v>
      </c>
      <c r="EA19" s="80">
        <f t="shared" si="103"/>
        <v>0</v>
      </c>
      <c r="EB19" s="76" t="s">
        <v>8</v>
      </c>
      <c r="EC19" s="30" t="s">
        <v>8</v>
      </c>
      <c r="ED19" s="35">
        <f t="shared" si="104"/>
        <v>0.50028612333164868</v>
      </c>
      <c r="EE19" s="33">
        <f t="shared" si="105"/>
        <v>4.2806106343768691E-2</v>
      </c>
      <c r="EF19" s="34">
        <f t="shared" si="106"/>
        <v>342216.69465452561</v>
      </c>
      <c r="EG19" s="80">
        <f t="shared" si="107"/>
        <v>0</v>
      </c>
      <c r="EH19" s="76" t="s">
        <v>8</v>
      </c>
      <c r="EI19" s="30" t="s">
        <v>8</v>
      </c>
      <c r="EJ19" s="35">
        <f t="shared" si="108"/>
        <v>0.50028612333164868</v>
      </c>
      <c r="EK19" s="33">
        <f t="shared" si="109"/>
        <v>4.2806106343768691E-2</v>
      </c>
      <c r="EL19" s="34">
        <f t="shared" si="110"/>
        <v>342216.69465452561</v>
      </c>
      <c r="EM19" s="80">
        <f t="shared" si="111"/>
        <v>0</v>
      </c>
      <c r="EN19" s="76" t="s">
        <v>8</v>
      </c>
      <c r="EO19" s="30" t="s">
        <v>8</v>
      </c>
      <c r="EP19" s="35">
        <f t="shared" si="112"/>
        <v>0.50028612333164868</v>
      </c>
      <c r="EQ19" s="33">
        <f t="shared" si="113"/>
        <v>4.2806106343768691E-2</v>
      </c>
      <c r="ER19" s="34">
        <f t="shared" si="114"/>
        <v>342216.69465452561</v>
      </c>
      <c r="ES19" s="80">
        <f t="shared" si="115"/>
        <v>0</v>
      </c>
      <c r="ET19" s="76" t="s">
        <v>8</v>
      </c>
      <c r="EU19" s="30" t="s">
        <v>8</v>
      </c>
      <c r="EV19" s="35">
        <f t="shared" si="116"/>
        <v>0.50028612333164868</v>
      </c>
      <c r="EW19" s="33">
        <f t="shared" si="117"/>
        <v>4.2806106343768691E-2</v>
      </c>
      <c r="EX19" s="34">
        <f t="shared" si="118"/>
        <v>342216.69465452561</v>
      </c>
      <c r="EY19" s="80">
        <f t="shared" si="119"/>
        <v>0</v>
      </c>
      <c r="EZ19" s="76" t="s">
        <v>8</v>
      </c>
      <c r="FA19" s="30" t="s">
        <v>8</v>
      </c>
      <c r="FB19" s="35">
        <f t="shared" si="120"/>
        <v>0.50028612333164868</v>
      </c>
      <c r="FC19" s="33">
        <f t="shared" si="121"/>
        <v>4.2806106343768691E-2</v>
      </c>
      <c r="FD19" s="34">
        <f t="shared" si="122"/>
        <v>342216.69465452561</v>
      </c>
      <c r="FE19" s="80">
        <f t="shared" si="123"/>
        <v>0</v>
      </c>
      <c r="FF19" s="76" t="s">
        <v>8</v>
      </c>
      <c r="FG19" s="30" t="s">
        <v>8</v>
      </c>
      <c r="FH19" s="35">
        <f t="shared" si="124"/>
        <v>0.50028612333164868</v>
      </c>
      <c r="FI19" s="33">
        <f t="shared" si="125"/>
        <v>4.2806106343768691E-2</v>
      </c>
      <c r="FJ19" s="34">
        <f t="shared" si="126"/>
        <v>342216.69465452561</v>
      </c>
      <c r="FK19" s="80">
        <f t="shared" si="127"/>
        <v>0</v>
      </c>
      <c r="FL19" s="76" t="s">
        <v>8</v>
      </c>
      <c r="FM19" s="30" t="s">
        <v>8</v>
      </c>
      <c r="FN19" s="35">
        <f t="shared" si="128"/>
        <v>0.50028612333164868</v>
      </c>
      <c r="FO19" s="33">
        <f t="shared" si="129"/>
        <v>4.2806106343768691E-2</v>
      </c>
      <c r="FP19" s="34">
        <f t="shared" si="130"/>
        <v>342216.69465452561</v>
      </c>
      <c r="FQ19" s="80">
        <f t="shared" si="131"/>
        <v>0</v>
      </c>
      <c r="FR19" s="76" t="s">
        <v>8</v>
      </c>
      <c r="FS19" s="30" t="s">
        <v>8</v>
      </c>
      <c r="FT19" s="35">
        <f t="shared" si="132"/>
        <v>0.50028612333164868</v>
      </c>
      <c r="FU19" s="33">
        <f t="shared" si="133"/>
        <v>4.2806106343768691E-2</v>
      </c>
      <c r="FV19" s="34">
        <f t="shared" si="134"/>
        <v>342216.69465452561</v>
      </c>
      <c r="FW19" s="80">
        <f t="shared" si="135"/>
        <v>0</v>
      </c>
      <c r="FX19" s="76" t="s">
        <v>8</v>
      </c>
      <c r="FY19" s="30" t="s">
        <v>8</v>
      </c>
      <c r="FZ19" s="35">
        <f t="shared" si="136"/>
        <v>0.50028612333164868</v>
      </c>
      <c r="GA19" s="33">
        <f t="shared" si="137"/>
        <v>4.2806106343768691E-2</v>
      </c>
      <c r="GB19" s="34">
        <f t="shared" si="138"/>
        <v>342216.69465452561</v>
      </c>
      <c r="GC19" s="80">
        <f t="shared" si="139"/>
        <v>0</v>
      </c>
      <c r="GD19" s="76" t="s">
        <v>8</v>
      </c>
      <c r="GE19" s="30" t="s">
        <v>8</v>
      </c>
      <c r="GF19" s="35">
        <f t="shared" si="140"/>
        <v>0.50028612333164868</v>
      </c>
      <c r="GG19" s="33">
        <f t="shared" si="141"/>
        <v>4.2806106343768691E-2</v>
      </c>
      <c r="GH19" s="34">
        <f t="shared" si="142"/>
        <v>342216.69465452561</v>
      </c>
      <c r="GI19" s="128">
        <f t="shared" si="143"/>
        <v>0</v>
      </c>
      <c r="GJ19" s="176">
        <f t="shared" si="146"/>
        <v>1419799.2774582687</v>
      </c>
      <c r="GK19" s="99">
        <f t="shared" si="144"/>
        <v>1516401.7444761647</v>
      </c>
      <c r="GL19" s="217">
        <f t="shared" si="145"/>
        <v>0.50028612333164879</v>
      </c>
      <c r="GM19" s="231">
        <f t="shared" si="147"/>
        <v>1516401.74</v>
      </c>
      <c r="GN19" s="233"/>
    </row>
    <row r="20" spans="1:196" ht="15.75" x14ac:dyDescent="0.25">
      <c r="A20" s="162" t="s">
        <v>185</v>
      </c>
      <c r="B20" s="164" t="s">
        <v>8</v>
      </c>
      <c r="C20" s="164" t="s">
        <v>8</v>
      </c>
      <c r="D20" s="164" t="s">
        <v>8</v>
      </c>
      <c r="E20" s="164" t="s">
        <v>8</v>
      </c>
      <c r="F20" s="164" t="s">
        <v>8</v>
      </c>
      <c r="G20" s="108">
        <f>'Исходные данные'!C22</f>
        <v>722</v>
      </c>
      <c r="H20" s="49">
        <f>'Исходные данные'!E22</f>
        <v>142175.15846601149</v>
      </c>
      <c r="I20" s="32">
        <f>'Расчет КРП'!G18</f>
        <v>4.5878320525422218</v>
      </c>
      <c r="J20" s="115" t="s">
        <v>8</v>
      </c>
      <c r="K20" s="119">
        <f t="shared" si="22"/>
        <v>3.3002166823188579E-2</v>
      </c>
      <c r="L20" s="77">
        <f t="shared" si="23"/>
        <v>132347.21287840776</v>
      </c>
      <c r="M20" s="73">
        <f t="shared" si="24"/>
        <v>6.3723038493899056E-2</v>
      </c>
      <c r="N20" s="30" t="s">
        <v>8</v>
      </c>
      <c r="O20" s="33">
        <f t="shared" si="25"/>
        <v>9.0602963895281899E-2</v>
      </c>
      <c r="P20" s="34">
        <f t="shared" si="26"/>
        <v>445335.497820138</v>
      </c>
      <c r="Q20" s="80">
        <f t="shared" si="27"/>
        <v>445335.497820138</v>
      </c>
      <c r="R20" s="169" t="s">
        <v>8</v>
      </c>
      <c r="S20" s="30" t="s">
        <v>8</v>
      </c>
      <c r="T20" s="35">
        <f t="shared" si="28"/>
        <v>0.16709578342290446</v>
      </c>
      <c r="U20" s="33">
        <f t="shared" si="29"/>
        <v>8.9149976968873196E-2</v>
      </c>
      <c r="V20" s="53">
        <f t="shared" si="30"/>
        <v>561918.77443311305</v>
      </c>
      <c r="W20" s="80">
        <f t="shared" si="31"/>
        <v>561918.77443311305</v>
      </c>
      <c r="X20" s="76" t="s">
        <v>8</v>
      </c>
      <c r="Y20" s="30" t="s">
        <v>8</v>
      </c>
      <c r="Z20" s="35">
        <f t="shared" si="32"/>
        <v>0.29753022313099553</v>
      </c>
      <c r="AA20" s="33">
        <f t="shared" si="33"/>
        <v>6.9530215814343432E-2</v>
      </c>
      <c r="AB20" s="53">
        <f t="shared" si="34"/>
        <v>548267.21685387858</v>
      </c>
      <c r="AC20" s="80">
        <f t="shared" si="35"/>
        <v>548267.21685387858</v>
      </c>
      <c r="AD20" s="76" t="s">
        <v>8</v>
      </c>
      <c r="AE20" s="30" t="s">
        <v>8</v>
      </c>
      <c r="AF20" s="35">
        <f t="shared" si="36"/>
        <v>0.42479581825690199</v>
      </c>
      <c r="AG20" s="33">
        <f t="shared" si="37"/>
        <v>5.3852525339931123E-2</v>
      </c>
      <c r="AH20" s="53">
        <f t="shared" si="38"/>
        <v>509553.40250963514</v>
      </c>
      <c r="AI20" s="80">
        <f t="shared" si="39"/>
        <v>324410.90886698995</v>
      </c>
      <c r="AJ20" s="76" t="s">
        <v>8</v>
      </c>
      <c r="AK20" s="30" t="s">
        <v>8</v>
      </c>
      <c r="AL20" s="35">
        <f t="shared" si="40"/>
        <v>0.50009914866430283</v>
      </c>
      <c r="AM20" s="33">
        <f t="shared" si="41"/>
        <v>4.2993081011114542E-2</v>
      </c>
      <c r="AN20" s="53">
        <f t="shared" si="42"/>
        <v>446264.87540969043</v>
      </c>
      <c r="AO20" s="80">
        <f t="shared" si="43"/>
        <v>0</v>
      </c>
      <c r="AP20" s="76" t="s">
        <v>8</v>
      </c>
      <c r="AQ20" s="30" t="s">
        <v>8</v>
      </c>
      <c r="AR20" s="35">
        <f t="shared" si="44"/>
        <v>0.50009914866430283</v>
      </c>
      <c r="AS20" s="33">
        <f t="shared" si="45"/>
        <v>4.2993081011114542E-2</v>
      </c>
      <c r="AT20" s="53">
        <f t="shared" si="46"/>
        <v>446264.87540969043</v>
      </c>
      <c r="AU20" s="80">
        <f t="shared" si="47"/>
        <v>0</v>
      </c>
      <c r="AV20" s="76" t="s">
        <v>8</v>
      </c>
      <c r="AW20" s="30" t="s">
        <v>8</v>
      </c>
      <c r="AX20" s="35">
        <f t="shared" si="48"/>
        <v>0.50009914866430283</v>
      </c>
      <c r="AY20" s="33">
        <f t="shared" si="49"/>
        <v>4.2993081011114542E-2</v>
      </c>
      <c r="AZ20" s="53">
        <f t="shared" si="50"/>
        <v>446264.87540969043</v>
      </c>
      <c r="BA20" s="80">
        <f t="shared" si="51"/>
        <v>0</v>
      </c>
      <c r="BB20" s="76" t="s">
        <v>8</v>
      </c>
      <c r="BC20" s="30" t="s">
        <v>8</v>
      </c>
      <c r="BD20" s="35">
        <f t="shared" si="52"/>
        <v>0.50009914866430283</v>
      </c>
      <c r="BE20" s="33">
        <f t="shared" si="53"/>
        <v>4.2993081011114542E-2</v>
      </c>
      <c r="BF20" s="53">
        <f t="shared" si="54"/>
        <v>446264.87540969043</v>
      </c>
      <c r="BG20" s="80">
        <f t="shared" si="55"/>
        <v>0</v>
      </c>
      <c r="BH20" s="76" t="s">
        <v>8</v>
      </c>
      <c r="BI20" s="30" t="s">
        <v>8</v>
      </c>
      <c r="BJ20" s="35">
        <f t="shared" si="56"/>
        <v>0.50009914866430283</v>
      </c>
      <c r="BK20" s="33">
        <f t="shared" si="57"/>
        <v>4.2993081011114542E-2</v>
      </c>
      <c r="BL20" s="53">
        <f t="shared" si="58"/>
        <v>446264.87540969043</v>
      </c>
      <c r="BM20" s="80">
        <f t="shared" si="59"/>
        <v>0</v>
      </c>
      <c r="BN20" s="76" t="s">
        <v>8</v>
      </c>
      <c r="BO20" s="30" t="s">
        <v>8</v>
      </c>
      <c r="BP20" s="35">
        <f t="shared" si="60"/>
        <v>0.50009914866430283</v>
      </c>
      <c r="BQ20" s="33">
        <f t="shared" si="61"/>
        <v>4.2993081011114542E-2</v>
      </c>
      <c r="BR20" s="53">
        <f t="shared" si="62"/>
        <v>446264.87540969043</v>
      </c>
      <c r="BS20" s="128">
        <f t="shared" si="63"/>
        <v>0</v>
      </c>
      <c r="BT20" s="76" t="s">
        <v>8</v>
      </c>
      <c r="BU20" s="30" t="s">
        <v>8</v>
      </c>
      <c r="BV20" s="35">
        <f t="shared" si="64"/>
        <v>0.50009914866430283</v>
      </c>
      <c r="BW20" s="33">
        <f t="shared" si="65"/>
        <v>4.2993081011114542E-2</v>
      </c>
      <c r="BX20" s="53">
        <f t="shared" si="66"/>
        <v>446264.87540969043</v>
      </c>
      <c r="BY20" s="128">
        <f t="shared" si="67"/>
        <v>0</v>
      </c>
      <c r="BZ20" s="76" t="s">
        <v>8</v>
      </c>
      <c r="CA20" s="30" t="s">
        <v>8</v>
      </c>
      <c r="CB20" s="35">
        <f t="shared" si="68"/>
        <v>0.50009914866430283</v>
      </c>
      <c r="CC20" s="33">
        <f t="shared" si="69"/>
        <v>4.2993081011114542E-2</v>
      </c>
      <c r="CD20" s="53">
        <f t="shared" si="70"/>
        <v>446264.87540969043</v>
      </c>
      <c r="CE20" s="128">
        <f t="shared" si="71"/>
        <v>0</v>
      </c>
      <c r="CF20" s="76" t="s">
        <v>8</v>
      </c>
      <c r="CG20" s="30" t="s">
        <v>8</v>
      </c>
      <c r="CH20" s="35">
        <f t="shared" si="72"/>
        <v>0.50009914866430283</v>
      </c>
      <c r="CI20" s="33">
        <f t="shared" si="73"/>
        <v>4.2993081011114542E-2</v>
      </c>
      <c r="CJ20" s="53">
        <f t="shared" si="74"/>
        <v>446264.87540969043</v>
      </c>
      <c r="CK20" s="128">
        <f t="shared" si="75"/>
        <v>0</v>
      </c>
      <c r="CL20" s="76" t="s">
        <v>8</v>
      </c>
      <c r="CM20" s="30" t="s">
        <v>8</v>
      </c>
      <c r="CN20" s="35">
        <f t="shared" si="76"/>
        <v>0.50009914866430283</v>
      </c>
      <c r="CO20" s="33">
        <f t="shared" si="77"/>
        <v>4.2993081011114542E-2</v>
      </c>
      <c r="CP20" s="53">
        <f t="shared" si="78"/>
        <v>446264.87540969043</v>
      </c>
      <c r="CQ20" s="128">
        <f t="shared" si="79"/>
        <v>0</v>
      </c>
      <c r="CR20" s="76" t="s">
        <v>8</v>
      </c>
      <c r="CS20" s="30" t="s">
        <v>8</v>
      </c>
      <c r="CT20" s="35">
        <f t="shared" si="80"/>
        <v>0.50009914866430283</v>
      </c>
      <c r="CU20" s="33">
        <f t="shared" si="81"/>
        <v>4.2993081011114542E-2</v>
      </c>
      <c r="CV20" s="53">
        <f t="shared" si="82"/>
        <v>446264.87540969043</v>
      </c>
      <c r="CW20" s="128">
        <f t="shared" si="83"/>
        <v>0</v>
      </c>
      <c r="CX20" s="76" t="s">
        <v>8</v>
      </c>
      <c r="CY20" s="30" t="s">
        <v>8</v>
      </c>
      <c r="CZ20" s="35">
        <f t="shared" si="84"/>
        <v>0.50009914866430283</v>
      </c>
      <c r="DA20" s="33">
        <f t="shared" si="85"/>
        <v>4.2993081011114542E-2</v>
      </c>
      <c r="DB20" s="53">
        <f t="shared" si="86"/>
        <v>446264.87540969043</v>
      </c>
      <c r="DC20" s="128">
        <f t="shared" si="87"/>
        <v>0</v>
      </c>
      <c r="DD20" s="76" t="s">
        <v>8</v>
      </c>
      <c r="DE20" s="30" t="s">
        <v>8</v>
      </c>
      <c r="DF20" s="35">
        <f t="shared" si="88"/>
        <v>0.50009914866430283</v>
      </c>
      <c r="DG20" s="33">
        <f t="shared" si="89"/>
        <v>4.2993081011114542E-2</v>
      </c>
      <c r="DH20" s="53">
        <f t="shared" si="90"/>
        <v>446264.87540969043</v>
      </c>
      <c r="DI20" s="128">
        <f t="shared" si="91"/>
        <v>0</v>
      </c>
      <c r="DJ20" s="76" t="s">
        <v>8</v>
      </c>
      <c r="DK20" s="30" t="s">
        <v>8</v>
      </c>
      <c r="DL20" s="35">
        <f t="shared" si="92"/>
        <v>0.50009914866430283</v>
      </c>
      <c r="DM20" s="33">
        <f t="shared" si="93"/>
        <v>4.2993081011114542E-2</v>
      </c>
      <c r="DN20" s="53">
        <f t="shared" si="94"/>
        <v>446264.87540969043</v>
      </c>
      <c r="DO20" s="128">
        <f t="shared" si="95"/>
        <v>0</v>
      </c>
      <c r="DP20" s="76" t="s">
        <v>8</v>
      </c>
      <c r="DQ20" s="30" t="s">
        <v>8</v>
      </c>
      <c r="DR20" s="35">
        <f t="shared" si="96"/>
        <v>0.50009914866430283</v>
      </c>
      <c r="DS20" s="33">
        <f t="shared" si="97"/>
        <v>4.2993081011114542E-2</v>
      </c>
      <c r="DT20" s="53">
        <f t="shared" si="98"/>
        <v>446264.87540969043</v>
      </c>
      <c r="DU20" s="128">
        <f t="shared" si="99"/>
        <v>0</v>
      </c>
      <c r="DV20" s="76" t="s">
        <v>8</v>
      </c>
      <c r="DW20" s="30" t="s">
        <v>8</v>
      </c>
      <c r="DX20" s="35">
        <f t="shared" si="100"/>
        <v>0.50009914866430283</v>
      </c>
      <c r="DY20" s="33">
        <f t="shared" si="101"/>
        <v>4.2993081011114542E-2</v>
      </c>
      <c r="DZ20" s="34">
        <f t="shared" si="102"/>
        <v>446264.87540969043</v>
      </c>
      <c r="EA20" s="80">
        <f t="shared" si="103"/>
        <v>0</v>
      </c>
      <c r="EB20" s="76" t="s">
        <v>8</v>
      </c>
      <c r="EC20" s="30" t="s">
        <v>8</v>
      </c>
      <c r="ED20" s="35">
        <f t="shared" si="104"/>
        <v>0.50009914866430283</v>
      </c>
      <c r="EE20" s="33">
        <f t="shared" si="105"/>
        <v>4.2993081011114542E-2</v>
      </c>
      <c r="EF20" s="34">
        <f t="shared" si="106"/>
        <v>446264.87540969043</v>
      </c>
      <c r="EG20" s="80">
        <f t="shared" si="107"/>
        <v>0</v>
      </c>
      <c r="EH20" s="76" t="s">
        <v>8</v>
      </c>
      <c r="EI20" s="30" t="s">
        <v>8</v>
      </c>
      <c r="EJ20" s="35">
        <f t="shared" si="108"/>
        <v>0.50009914866430283</v>
      </c>
      <c r="EK20" s="33">
        <f t="shared" si="109"/>
        <v>4.2993081011114542E-2</v>
      </c>
      <c r="EL20" s="34">
        <f t="shared" si="110"/>
        <v>446264.87540969043</v>
      </c>
      <c r="EM20" s="80">
        <f t="shared" si="111"/>
        <v>0</v>
      </c>
      <c r="EN20" s="76" t="s">
        <v>8</v>
      </c>
      <c r="EO20" s="30" t="s">
        <v>8</v>
      </c>
      <c r="EP20" s="35">
        <f t="shared" si="112"/>
        <v>0.50009914866430283</v>
      </c>
      <c r="EQ20" s="33">
        <f t="shared" si="113"/>
        <v>4.2993081011114542E-2</v>
      </c>
      <c r="ER20" s="34">
        <f t="shared" si="114"/>
        <v>446264.87540969043</v>
      </c>
      <c r="ES20" s="80">
        <f t="shared" si="115"/>
        <v>0</v>
      </c>
      <c r="ET20" s="76" t="s">
        <v>8</v>
      </c>
      <c r="EU20" s="30" t="s">
        <v>8</v>
      </c>
      <c r="EV20" s="35">
        <f t="shared" si="116"/>
        <v>0.50009914866430283</v>
      </c>
      <c r="EW20" s="33">
        <f t="shared" si="117"/>
        <v>4.2993081011114542E-2</v>
      </c>
      <c r="EX20" s="34">
        <f t="shared" si="118"/>
        <v>446264.87540969043</v>
      </c>
      <c r="EY20" s="80">
        <f t="shared" si="119"/>
        <v>0</v>
      </c>
      <c r="EZ20" s="76" t="s">
        <v>8</v>
      </c>
      <c r="FA20" s="30" t="s">
        <v>8</v>
      </c>
      <c r="FB20" s="35">
        <f t="shared" si="120"/>
        <v>0.50009914866430283</v>
      </c>
      <c r="FC20" s="33">
        <f t="shared" si="121"/>
        <v>4.2993081011114542E-2</v>
      </c>
      <c r="FD20" s="34">
        <f t="shared" si="122"/>
        <v>446264.87540969043</v>
      </c>
      <c r="FE20" s="80">
        <f t="shared" si="123"/>
        <v>0</v>
      </c>
      <c r="FF20" s="76" t="s">
        <v>8</v>
      </c>
      <c r="FG20" s="30" t="s">
        <v>8</v>
      </c>
      <c r="FH20" s="35">
        <f t="shared" si="124"/>
        <v>0.50009914866430283</v>
      </c>
      <c r="FI20" s="33">
        <f t="shared" si="125"/>
        <v>4.2993081011114542E-2</v>
      </c>
      <c r="FJ20" s="34">
        <f t="shared" si="126"/>
        <v>446264.87540969043</v>
      </c>
      <c r="FK20" s="80">
        <f t="shared" si="127"/>
        <v>0</v>
      </c>
      <c r="FL20" s="76" t="s">
        <v>8</v>
      </c>
      <c r="FM20" s="30" t="s">
        <v>8</v>
      </c>
      <c r="FN20" s="35">
        <f t="shared" si="128"/>
        <v>0.50009914866430283</v>
      </c>
      <c r="FO20" s="33">
        <f t="shared" si="129"/>
        <v>4.2993081011114542E-2</v>
      </c>
      <c r="FP20" s="34">
        <f t="shared" si="130"/>
        <v>446264.87540969043</v>
      </c>
      <c r="FQ20" s="80">
        <f t="shared" si="131"/>
        <v>0</v>
      </c>
      <c r="FR20" s="76" t="s">
        <v>8</v>
      </c>
      <c r="FS20" s="30" t="s">
        <v>8</v>
      </c>
      <c r="FT20" s="35">
        <f t="shared" si="132"/>
        <v>0.50009914866430283</v>
      </c>
      <c r="FU20" s="33">
        <f t="shared" si="133"/>
        <v>4.2993081011114542E-2</v>
      </c>
      <c r="FV20" s="34">
        <f t="shared" si="134"/>
        <v>446264.87540969043</v>
      </c>
      <c r="FW20" s="80">
        <f t="shared" si="135"/>
        <v>0</v>
      </c>
      <c r="FX20" s="76" t="s">
        <v>8</v>
      </c>
      <c r="FY20" s="30" t="s">
        <v>8</v>
      </c>
      <c r="FZ20" s="35">
        <f t="shared" si="136"/>
        <v>0.50009914866430283</v>
      </c>
      <c r="GA20" s="33">
        <f t="shared" si="137"/>
        <v>4.2993081011114542E-2</v>
      </c>
      <c r="GB20" s="34">
        <f t="shared" si="138"/>
        <v>446264.87540969043</v>
      </c>
      <c r="GC20" s="80">
        <f t="shared" si="139"/>
        <v>0</v>
      </c>
      <c r="GD20" s="76" t="s">
        <v>8</v>
      </c>
      <c r="GE20" s="30" t="s">
        <v>8</v>
      </c>
      <c r="GF20" s="35">
        <f t="shared" si="140"/>
        <v>0.50009914866430283</v>
      </c>
      <c r="GG20" s="33">
        <f t="shared" si="141"/>
        <v>4.2993081011114542E-2</v>
      </c>
      <c r="GH20" s="34">
        <f t="shared" si="142"/>
        <v>446264.87540969043</v>
      </c>
      <c r="GI20" s="128">
        <f t="shared" si="143"/>
        <v>0</v>
      </c>
      <c r="GJ20" s="176">
        <f t="shared" si="146"/>
        <v>1879932.3979741195</v>
      </c>
      <c r="GK20" s="99">
        <f t="shared" si="144"/>
        <v>2012279.6108525272</v>
      </c>
      <c r="GL20" s="217">
        <f t="shared" si="145"/>
        <v>0.50009914866430272</v>
      </c>
      <c r="GM20" s="231">
        <f>ROUND(GK20,2)</f>
        <v>2012279.61</v>
      </c>
      <c r="GN20" s="233"/>
    </row>
    <row r="21" spans="1:196" ht="15.75" x14ac:dyDescent="0.25">
      <c r="A21" s="162" t="s">
        <v>186</v>
      </c>
      <c r="B21" s="165" t="s">
        <v>8</v>
      </c>
      <c r="C21" s="165" t="s">
        <v>8</v>
      </c>
      <c r="D21" s="165" t="s">
        <v>8</v>
      </c>
      <c r="E21" s="165" t="s">
        <v>8</v>
      </c>
      <c r="F21" s="165" t="s">
        <v>8</v>
      </c>
      <c r="G21" s="147">
        <f>'Исходные данные'!C23</f>
        <v>6867</v>
      </c>
      <c r="H21" s="49">
        <f>'Исходные данные'!E23</f>
        <v>14028155.166550521</v>
      </c>
      <c r="I21" s="149">
        <f>'Расчет КРП'!G19</f>
        <v>2.6390247560798024</v>
      </c>
      <c r="J21" s="150" t="s">
        <v>8</v>
      </c>
      <c r="K21" s="151">
        <f t="shared" si="22"/>
        <v>0.59518707623608813</v>
      </c>
      <c r="L21" s="152">
        <f t="shared" si="23"/>
        <v>1258764.9734570996</v>
      </c>
      <c r="M21" s="153">
        <f t="shared" si="24"/>
        <v>0.64859400218788843</v>
      </c>
      <c r="N21" s="154" t="s">
        <v>8</v>
      </c>
      <c r="O21" s="155">
        <f t="shared" si="25"/>
        <v>-0.4942679997987075</v>
      </c>
      <c r="P21" s="34">
        <f t="shared" si="26"/>
        <v>0</v>
      </c>
      <c r="Q21" s="156">
        <f t="shared" si="27"/>
        <v>0</v>
      </c>
      <c r="R21" s="170" t="s">
        <v>8</v>
      </c>
      <c r="S21" s="154" t="s">
        <v>8</v>
      </c>
      <c r="T21" s="157">
        <f t="shared" si="28"/>
        <v>0.64859400218788843</v>
      </c>
      <c r="U21" s="155">
        <f t="shared" si="29"/>
        <v>-0.39234824179611077</v>
      </c>
      <c r="V21" s="53">
        <f t="shared" si="30"/>
        <v>0</v>
      </c>
      <c r="W21" s="156">
        <f t="shared" si="31"/>
        <v>0</v>
      </c>
      <c r="X21" s="146" t="s">
        <v>8</v>
      </c>
      <c r="Y21" s="154" t="s">
        <v>8</v>
      </c>
      <c r="Z21" s="157">
        <f t="shared" si="32"/>
        <v>0.64859400218788843</v>
      </c>
      <c r="AA21" s="155">
        <f t="shared" si="33"/>
        <v>-0.28153356324254947</v>
      </c>
      <c r="AB21" s="53">
        <f t="shared" si="34"/>
        <v>0</v>
      </c>
      <c r="AC21" s="156">
        <f t="shared" si="35"/>
        <v>0</v>
      </c>
      <c r="AD21" s="146" t="s">
        <v>8</v>
      </c>
      <c r="AE21" s="154" t="s">
        <v>8</v>
      </c>
      <c r="AF21" s="157">
        <f t="shared" si="36"/>
        <v>0.64859400218788843</v>
      </c>
      <c r="AG21" s="155">
        <f t="shared" si="37"/>
        <v>-0.16994565859105532</v>
      </c>
      <c r="AH21" s="53">
        <f t="shared" si="38"/>
        <v>0</v>
      </c>
      <c r="AI21" s="156">
        <f t="shared" si="39"/>
        <v>0</v>
      </c>
      <c r="AJ21" s="146" t="s">
        <v>8</v>
      </c>
      <c r="AK21" s="154" t="s">
        <v>8</v>
      </c>
      <c r="AL21" s="157">
        <f t="shared" si="40"/>
        <v>0.64859400218788843</v>
      </c>
      <c r="AM21" s="155">
        <f t="shared" si="41"/>
        <v>-0.10550177251247106</v>
      </c>
      <c r="AN21" s="53">
        <f t="shared" si="42"/>
        <v>0</v>
      </c>
      <c r="AO21" s="156">
        <f t="shared" si="43"/>
        <v>0</v>
      </c>
      <c r="AP21" s="146" t="s">
        <v>8</v>
      </c>
      <c r="AQ21" s="154" t="s">
        <v>8</v>
      </c>
      <c r="AR21" s="157">
        <f t="shared" si="44"/>
        <v>0.64859400218788843</v>
      </c>
      <c r="AS21" s="155">
        <f t="shared" si="45"/>
        <v>-0.10550177251247106</v>
      </c>
      <c r="AT21" s="53">
        <f t="shared" si="46"/>
        <v>0</v>
      </c>
      <c r="AU21" s="156">
        <f t="shared" si="47"/>
        <v>0</v>
      </c>
      <c r="AV21" s="146" t="s">
        <v>8</v>
      </c>
      <c r="AW21" s="154" t="s">
        <v>8</v>
      </c>
      <c r="AX21" s="157">
        <f t="shared" si="48"/>
        <v>0.64859400218788843</v>
      </c>
      <c r="AY21" s="155">
        <f t="shared" si="49"/>
        <v>-0.10550177251247106</v>
      </c>
      <c r="AZ21" s="53">
        <f t="shared" si="50"/>
        <v>0</v>
      </c>
      <c r="BA21" s="156">
        <f t="shared" si="51"/>
        <v>0</v>
      </c>
      <c r="BB21" s="146" t="s">
        <v>8</v>
      </c>
      <c r="BC21" s="154" t="s">
        <v>8</v>
      </c>
      <c r="BD21" s="157">
        <f t="shared" si="52"/>
        <v>0.64859400218788843</v>
      </c>
      <c r="BE21" s="155">
        <f t="shared" si="53"/>
        <v>-0.10550177251247106</v>
      </c>
      <c r="BF21" s="53">
        <f t="shared" si="54"/>
        <v>0</v>
      </c>
      <c r="BG21" s="156">
        <f t="shared" si="55"/>
        <v>0</v>
      </c>
      <c r="BH21" s="146" t="s">
        <v>8</v>
      </c>
      <c r="BI21" s="154" t="s">
        <v>8</v>
      </c>
      <c r="BJ21" s="157">
        <f t="shared" si="56"/>
        <v>0.64859400218788843</v>
      </c>
      <c r="BK21" s="155">
        <f t="shared" si="57"/>
        <v>-0.10550177251247106</v>
      </c>
      <c r="BL21" s="53">
        <f t="shared" si="58"/>
        <v>0</v>
      </c>
      <c r="BM21" s="156">
        <f t="shared" si="59"/>
        <v>0</v>
      </c>
      <c r="BN21" s="146" t="s">
        <v>8</v>
      </c>
      <c r="BO21" s="154" t="s">
        <v>8</v>
      </c>
      <c r="BP21" s="157">
        <f t="shared" si="60"/>
        <v>0.64859400218788843</v>
      </c>
      <c r="BQ21" s="155">
        <f t="shared" si="61"/>
        <v>-0.10550177251247106</v>
      </c>
      <c r="BR21" s="53">
        <f t="shared" si="62"/>
        <v>0</v>
      </c>
      <c r="BS21" s="158">
        <f t="shared" si="63"/>
        <v>0</v>
      </c>
      <c r="BT21" s="146" t="s">
        <v>8</v>
      </c>
      <c r="BU21" s="154" t="s">
        <v>8</v>
      </c>
      <c r="BV21" s="157">
        <f t="shared" si="64"/>
        <v>0.64859400218788843</v>
      </c>
      <c r="BW21" s="155">
        <f t="shared" si="65"/>
        <v>-0.10550177251247106</v>
      </c>
      <c r="BX21" s="53">
        <f t="shared" si="66"/>
        <v>0</v>
      </c>
      <c r="BY21" s="158">
        <f t="shared" si="67"/>
        <v>0</v>
      </c>
      <c r="BZ21" s="146" t="s">
        <v>8</v>
      </c>
      <c r="CA21" s="154" t="s">
        <v>8</v>
      </c>
      <c r="CB21" s="157">
        <f t="shared" si="68"/>
        <v>0.64859400218788843</v>
      </c>
      <c r="CC21" s="155">
        <f t="shared" si="69"/>
        <v>-0.10550177251247106</v>
      </c>
      <c r="CD21" s="53">
        <f t="shared" si="70"/>
        <v>0</v>
      </c>
      <c r="CE21" s="158">
        <f t="shared" si="71"/>
        <v>0</v>
      </c>
      <c r="CF21" s="146" t="s">
        <v>8</v>
      </c>
      <c r="CG21" s="154" t="s">
        <v>8</v>
      </c>
      <c r="CH21" s="157">
        <f t="shared" si="72"/>
        <v>0.64859400218788843</v>
      </c>
      <c r="CI21" s="155">
        <f t="shared" si="73"/>
        <v>-0.10550177251247106</v>
      </c>
      <c r="CJ21" s="53">
        <f t="shared" si="74"/>
        <v>0</v>
      </c>
      <c r="CK21" s="158">
        <f t="shared" si="75"/>
        <v>0</v>
      </c>
      <c r="CL21" s="146" t="s">
        <v>8</v>
      </c>
      <c r="CM21" s="154" t="s">
        <v>8</v>
      </c>
      <c r="CN21" s="157">
        <f t="shared" si="76"/>
        <v>0.64859400218788843</v>
      </c>
      <c r="CO21" s="155">
        <f t="shared" si="77"/>
        <v>-0.10550177251247106</v>
      </c>
      <c r="CP21" s="53">
        <f t="shared" si="78"/>
        <v>0</v>
      </c>
      <c r="CQ21" s="158">
        <f t="shared" si="79"/>
        <v>0</v>
      </c>
      <c r="CR21" s="146" t="s">
        <v>8</v>
      </c>
      <c r="CS21" s="154" t="s">
        <v>8</v>
      </c>
      <c r="CT21" s="157">
        <f t="shared" si="80"/>
        <v>0.64859400218788843</v>
      </c>
      <c r="CU21" s="155">
        <f t="shared" si="81"/>
        <v>-0.10550177251247106</v>
      </c>
      <c r="CV21" s="53">
        <f t="shared" si="82"/>
        <v>0</v>
      </c>
      <c r="CW21" s="158">
        <f t="shared" si="83"/>
        <v>0</v>
      </c>
      <c r="CX21" s="146" t="s">
        <v>8</v>
      </c>
      <c r="CY21" s="154" t="s">
        <v>8</v>
      </c>
      <c r="CZ21" s="157">
        <f t="shared" si="84"/>
        <v>0.64859400218788843</v>
      </c>
      <c r="DA21" s="155">
        <f t="shared" si="85"/>
        <v>-0.10550177251247106</v>
      </c>
      <c r="DB21" s="53">
        <f t="shared" si="86"/>
        <v>0</v>
      </c>
      <c r="DC21" s="158">
        <f t="shared" si="87"/>
        <v>0</v>
      </c>
      <c r="DD21" s="146" t="s">
        <v>8</v>
      </c>
      <c r="DE21" s="154" t="s">
        <v>8</v>
      </c>
      <c r="DF21" s="157">
        <f t="shared" si="88"/>
        <v>0.64859400218788843</v>
      </c>
      <c r="DG21" s="155">
        <f t="shared" si="89"/>
        <v>-0.10550177251247106</v>
      </c>
      <c r="DH21" s="53">
        <f t="shared" si="90"/>
        <v>0</v>
      </c>
      <c r="DI21" s="158">
        <f t="shared" si="91"/>
        <v>0</v>
      </c>
      <c r="DJ21" s="146" t="s">
        <v>8</v>
      </c>
      <c r="DK21" s="154" t="s">
        <v>8</v>
      </c>
      <c r="DL21" s="157">
        <f t="shared" si="92"/>
        <v>0.64859400218788843</v>
      </c>
      <c r="DM21" s="155">
        <f t="shared" si="93"/>
        <v>-0.10550177251247106</v>
      </c>
      <c r="DN21" s="53">
        <f t="shared" si="94"/>
        <v>0</v>
      </c>
      <c r="DO21" s="158">
        <f t="shared" si="95"/>
        <v>0</v>
      </c>
      <c r="DP21" s="146" t="s">
        <v>8</v>
      </c>
      <c r="DQ21" s="154" t="s">
        <v>8</v>
      </c>
      <c r="DR21" s="157">
        <f t="shared" si="96"/>
        <v>0.64859400218788843</v>
      </c>
      <c r="DS21" s="155">
        <f t="shared" si="97"/>
        <v>-0.10550177251247106</v>
      </c>
      <c r="DT21" s="53">
        <f t="shared" si="98"/>
        <v>0</v>
      </c>
      <c r="DU21" s="158">
        <f t="shared" si="99"/>
        <v>0</v>
      </c>
      <c r="DV21" s="146" t="s">
        <v>8</v>
      </c>
      <c r="DW21" s="154" t="s">
        <v>8</v>
      </c>
      <c r="DX21" s="35">
        <f t="shared" si="100"/>
        <v>0.64859400218788843</v>
      </c>
      <c r="DY21" s="155">
        <f t="shared" si="101"/>
        <v>-0.10550177251247106</v>
      </c>
      <c r="DZ21" s="34">
        <f t="shared" si="102"/>
        <v>0</v>
      </c>
      <c r="EA21" s="156">
        <f t="shared" si="103"/>
        <v>0</v>
      </c>
      <c r="EB21" s="146" t="s">
        <v>8</v>
      </c>
      <c r="EC21" s="154" t="s">
        <v>8</v>
      </c>
      <c r="ED21" s="35">
        <f t="shared" si="104"/>
        <v>0.64859400218788843</v>
      </c>
      <c r="EE21" s="155">
        <f t="shared" si="105"/>
        <v>-0.10550177251247106</v>
      </c>
      <c r="EF21" s="34">
        <f t="shared" si="106"/>
        <v>0</v>
      </c>
      <c r="EG21" s="156">
        <f t="shared" si="107"/>
        <v>0</v>
      </c>
      <c r="EH21" s="146" t="s">
        <v>8</v>
      </c>
      <c r="EI21" s="154" t="s">
        <v>8</v>
      </c>
      <c r="EJ21" s="35">
        <f t="shared" si="108"/>
        <v>0.64859400218788843</v>
      </c>
      <c r="EK21" s="155">
        <f t="shared" si="109"/>
        <v>-0.10550177251247106</v>
      </c>
      <c r="EL21" s="34">
        <f t="shared" si="110"/>
        <v>0</v>
      </c>
      <c r="EM21" s="156">
        <f t="shared" si="111"/>
        <v>0</v>
      </c>
      <c r="EN21" s="146" t="s">
        <v>8</v>
      </c>
      <c r="EO21" s="154" t="s">
        <v>8</v>
      </c>
      <c r="EP21" s="35">
        <f t="shared" si="112"/>
        <v>0.64859400218788843</v>
      </c>
      <c r="EQ21" s="155">
        <f t="shared" si="113"/>
        <v>-0.10550177251247106</v>
      </c>
      <c r="ER21" s="34">
        <f t="shared" si="114"/>
        <v>0</v>
      </c>
      <c r="ES21" s="156">
        <f t="shared" si="115"/>
        <v>0</v>
      </c>
      <c r="ET21" s="146" t="s">
        <v>8</v>
      </c>
      <c r="EU21" s="154" t="s">
        <v>8</v>
      </c>
      <c r="EV21" s="35">
        <f t="shared" si="116"/>
        <v>0.64859400218788843</v>
      </c>
      <c r="EW21" s="155">
        <f t="shared" si="117"/>
        <v>-0.10550177251247106</v>
      </c>
      <c r="EX21" s="34">
        <f t="shared" si="118"/>
        <v>0</v>
      </c>
      <c r="EY21" s="156">
        <f t="shared" si="119"/>
        <v>0</v>
      </c>
      <c r="EZ21" s="146" t="s">
        <v>8</v>
      </c>
      <c r="FA21" s="154" t="s">
        <v>8</v>
      </c>
      <c r="FB21" s="35">
        <f t="shared" si="120"/>
        <v>0.64859400218788843</v>
      </c>
      <c r="FC21" s="155">
        <f t="shared" si="121"/>
        <v>-0.10550177251247106</v>
      </c>
      <c r="FD21" s="34">
        <f t="shared" si="122"/>
        <v>0</v>
      </c>
      <c r="FE21" s="156">
        <f t="shared" si="123"/>
        <v>0</v>
      </c>
      <c r="FF21" s="146" t="s">
        <v>8</v>
      </c>
      <c r="FG21" s="154" t="s">
        <v>8</v>
      </c>
      <c r="FH21" s="35">
        <f t="shared" si="124"/>
        <v>0.64859400218788843</v>
      </c>
      <c r="FI21" s="155">
        <f t="shared" si="125"/>
        <v>-0.10550177251247106</v>
      </c>
      <c r="FJ21" s="34">
        <f t="shared" si="126"/>
        <v>0</v>
      </c>
      <c r="FK21" s="156">
        <f t="shared" si="127"/>
        <v>0</v>
      </c>
      <c r="FL21" s="146" t="s">
        <v>8</v>
      </c>
      <c r="FM21" s="154" t="s">
        <v>8</v>
      </c>
      <c r="FN21" s="35">
        <f t="shared" si="128"/>
        <v>0.64859400218788843</v>
      </c>
      <c r="FO21" s="155">
        <f t="shared" si="129"/>
        <v>-0.10550177251247106</v>
      </c>
      <c r="FP21" s="34">
        <f t="shared" si="130"/>
        <v>0</v>
      </c>
      <c r="FQ21" s="156">
        <f t="shared" si="131"/>
        <v>0</v>
      </c>
      <c r="FR21" s="146" t="s">
        <v>8</v>
      </c>
      <c r="FS21" s="154" t="s">
        <v>8</v>
      </c>
      <c r="FT21" s="35">
        <f t="shared" si="132"/>
        <v>0.64859400218788843</v>
      </c>
      <c r="FU21" s="155">
        <f t="shared" si="133"/>
        <v>-0.10550177251247106</v>
      </c>
      <c r="FV21" s="34">
        <f t="shared" si="134"/>
        <v>0</v>
      </c>
      <c r="FW21" s="156">
        <f t="shared" si="135"/>
        <v>0</v>
      </c>
      <c r="FX21" s="146" t="s">
        <v>8</v>
      </c>
      <c r="FY21" s="154" t="s">
        <v>8</v>
      </c>
      <c r="FZ21" s="35">
        <f t="shared" si="136"/>
        <v>0.64859400218788843</v>
      </c>
      <c r="GA21" s="155">
        <f t="shared" si="137"/>
        <v>-0.10550177251247106</v>
      </c>
      <c r="GB21" s="34">
        <f t="shared" si="138"/>
        <v>0</v>
      </c>
      <c r="GC21" s="156">
        <f t="shared" si="139"/>
        <v>0</v>
      </c>
      <c r="GD21" s="146" t="s">
        <v>8</v>
      </c>
      <c r="GE21" s="154" t="s">
        <v>8</v>
      </c>
      <c r="GF21" s="35">
        <f t="shared" si="140"/>
        <v>0.64859400218788843</v>
      </c>
      <c r="GG21" s="155">
        <f t="shared" si="141"/>
        <v>-0.10550177251247106</v>
      </c>
      <c r="GH21" s="34">
        <f t="shared" si="142"/>
        <v>0</v>
      </c>
      <c r="GI21" s="158">
        <f t="shared" si="143"/>
        <v>0</v>
      </c>
      <c r="GJ21" s="176">
        <f t="shared" si="146"/>
        <v>0</v>
      </c>
      <c r="GK21" s="99">
        <f t="shared" si="144"/>
        <v>1258764.9734570996</v>
      </c>
      <c r="GL21" s="217">
        <f t="shared" si="145"/>
        <v>0.64859400218788843</v>
      </c>
      <c r="GM21" s="231">
        <f t="shared" si="147"/>
        <v>1258764.97</v>
      </c>
      <c r="GN21" s="233"/>
    </row>
    <row r="22" spans="1:196" ht="16.5" thickBot="1" x14ac:dyDescent="0.3">
      <c r="A22" s="136" t="s">
        <v>187</v>
      </c>
      <c r="B22" s="165" t="s">
        <v>8</v>
      </c>
      <c r="C22" s="165" t="s">
        <v>8</v>
      </c>
      <c r="D22" s="165" t="s">
        <v>8</v>
      </c>
      <c r="E22" s="165" t="s">
        <v>8</v>
      </c>
      <c r="F22" s="165" t="s">
        <v>8</v>
      </c>
      <c r="G22" s="147">
        <f>'Исходные данные'!C24</f>
        <v>629</v>
      </c>
      <c r="H22" s="49">
        <f>'Исходные данные'!E24</f>
        <v>212320.51166859936</v>
      </c>
      <c r="I22" s="149">
        <f>'Расчет КРП'!G20</f>
        <v>5.6371658033745318</v>
      </c>
      <c r="J22" s="150" t="s">
        <v>8</v>
      </c>
      <c r="K22" s="151">
        <f t="shared" si="22"/>
        <v>4.6040914472571255E-2</v>
      </c>
      <c r="L22" s="152">
        <f t="shared" si="23"/>
        <v>115299.71869877905</v>
      </c>
      <c r="M22" s="153">
        <f t="shared" si="24"/>
        <v>7.1043230290309081E-2</v>
      </c>
      <c r="N22" s="154" t="s">
        <v>8</v>
      </c>
      <c r="O22" s="155">
        <f t="shared" si="25"/>
        <v>8.3282772098871874E-2</v>
      </c>
      <c r="P22" s="34">
        <f t="shared" si="26"/>
        <v>438194.40394881344</v>
      </c>
      <c r="Q22" s="156">
        <f t="shared" si="27"/>
        <v>438194.40394881344</v>
      </c>
      <c r="R22" s="170" t="s">
        <v>8</v>
      </c>
      <c r="S22" s="154" t="s">
        <v>8</v>
      </c>
      <c r="T22" s="157">
        <f t="shared" si="28"/>
        <v>0.16606405948865155</v>
      </c>
      <c r="U22" s="155">
        <f t="shared" si="29"/>
        <v>9.0181700903126105E-2</v>
      </c>
      <c r="V22" s="53">
        <f t="shared" si="30"/>
        <v>608467.62421033415</v>
      </c>
      <c r="W22" s="156">
        <f t="shared" si="31"/>
        <v>608467.62421033415</v>
      </c>
      <c r="X22" s="146" t="s">
        <v>8</v>
      </c>
      <c r="Y22" s="154" t="s">
        <v>8</v>
      </c>
      <c r="Z22" s="157">
        <f t="shared" si="32"/>
        <v>0.29800800416660583</v>
      </c>
      <c r="AA22" s="155">
        <f t="shared" si="33"/>
        <v>6.9052434778733129E-2</v>
      </c>
      <c r="AB22" s="53">
        <f t="shared" si="34"/>
        <v>582860.25600374443</v>
      </c>
      <c r="AC22" s="156">
        <f t="shared" si="35"/>
        <v>582860.25600374443</v>
      </c>
      <c r="AD22" s="146" t="s">
        <v>8</v>
      </c>
      <c r="AE22" s="154" t="s">
        <v>8</v>
      </c>
      <c r="AF22" s="157">
        <f t="shared" si="36"/>
        <v>0.42439908614560684</v>
      </c>
      <c r="AG22" s="155">
        <f t="shared" si="37"/>
        <v>5.4249257451226274E-2</v>
      </c>
      <c r="AH22" s="53">
        <f t="shared" si="38"/>
        <v>549470.24013390788</v>
      </c>
      <c r="AI22" s="156">
        <f t="shared" si="39"/>
        <v>349824.25614130532</v>
      </c>
      <c r="AJ22" s="146" t="s">
        <v>8</v>
      </c>
      <c r="AK22" s="154" t="s">
        <v>8</v>
      </c>
      <c r="AL22" s="157">
        <f t="shared" si="40"/>
        <v>0.500257176967148</v>
      </c>
      <c r="AM22" s="155">
        <f t="shared" si="41"/>
        <v>4.2835052708269372E-2</v>
      </c>
      <c r="AN22" s="53">
        <f t="shared" si="42"/>
        <v>475948.74685820704</v>
      </c>
      <c r="AO22" s="156">
        <f t="shared" si="43"/>
        <v>0</v>
      </c>
      <c r="AP22" s="146" t="s">
        <v>8</v>
      </c>
      <c r="AQ22" s="154" t="s">
        <v>8</v>
      </c>
      <c r="AR22" s="157">
        <f t="shared" si="44"/>
        <v>0.500257176967148</v>
      </c>
      <c r="AS22" s="155">
        <f t="shared" si="45"/>
        <v>4.2835052708269372E-2</v>
      </c>
      <c r="AT22" s="53">
        <f t="shared" si="46"/>
        <v>475948.74685820704</v>
      </c>
      <c r="AU22" s="156">
        <f t="shared" si="47"/>
        <v>0</v>
      </c>
      <c r="AV22" s="146" t="s">
        <v>8</v>
      </c>
      <c r="AW22" s="154" t="s">
        <v>8</v>
      </c>
      <c r="AX22" s="157">
        <f t="shared" si="48"/>
        <v>0.500257176967148</v>
      </c>
      <c r="AY22" s="155">
        <f t="shared" si="49"/>
        <v>4.2835052708269372E-2</v>
      </c>
      <c r="AZ22" s="53">
        <f t="shared" si="50"/>
        <v>475948.74685820704</v>
      </c>
      <c r="BA22" s="156">
        <f t="shared" si="51"/>
        <v>0</v>
      </c>
      <c r="BB22" s="146" t="s">
        <v>8</v>
      </c>
      <c r="BC22" s="154" t="s">
        <v>8</v>
      </c>
      <c r="BD22" s="157">
        <f t="shared" si="52"/>
        <v>0.500257176967148</v>
      </c>
      <c r="BE22" s="155">
        <f t="shared" si="53"/>
        <v>4.2835052708269372E-2</v>
      </c>
      <c r="BF22" s="53">
        <f t="shared" si="54"/>
        <v>475948.74685820704</v>
      </c>
      <c r="BG22" s="156">
        <f t="shared" si="55"/>
        <v>0</v>
      </c>
      <c r="BH22" s="146" t="s">
        <v>8</v>
      </c>
      <c r="BI22" s="154" t="s">
        <v>8</v>
      </c>
      <c r="BJ22" s="157">
        <f t="shared" si="56"/>
        <v>0.500257176967148</v>
      </c>
      <c r="BK22" s="155">
        <f t="shared" si="57"/>
        <v>4.2835052708269372E-2</v>
      </c>
      <c r="BL22" s="53">
        <f t="shared" si="58"/>
        <v>475948.74685820704</v>
      </c>
      <c r="BM22" s="156">
        <f t="shared" si="59"/>
        <v>0</v>
      </c>
      <c r="BN22" s="146" t="s">
        <v>8</v>
      </c>
      <c r="BO22" s="154" t="s">
        <v>8</v>
      </c>
      <c r="BP22" s="157">
        <f t="shared" si="60"/>
        <v>0.500257176967148</v>
      </c>
      <c r="BQ22" s="155">
        <f t="shared" si="61"/>
        <v>4.2835052708269372E-2</v>
      </c>
      <c r="BR22" s="53">
        <f t="shared" si="62"/>
        <v>475948.74685820704</v>
      </c>
      <c r="BS22" s="158">
        <f t="shared" si="63"/>
        <v>0</v>
      </c>
      <c r="BT22" s="146" t="s">
        <v>8</v>
      </c>
      <c r="BU22" s="154" t="s">
        <v>8</v>
      </c>
      <c r="BV22" s="157">
        <f t="shared" si="64"/>
        <v>0.500257176967148</v>
      </c>
      <c r="BW22" s="155">
        <f t="shared" si="65"/>
        <v>4.2835052708269372E-2</v>
      </c>
      <c r="BX22" s="53">
        <f t="shared" si="66"/>
        <v>475948.74685820704</v>
      </c>
      <c r="BY22" s="158">
        <f t="shared" si="67"/>
        <v>0</v>
      </c>
      <c r="BZ22" s="146" t="s">
        <v>8</v>
      </c>
      <c r="CA22" s="154" t="s">
        <v>8</v>
      </c>
      <c r="CB22" s="157">
        <f t="shared" si="68"/>
        <v>0.500257176967148</v>
      </c>
      <c r="CC22" s="155">
        <f t="shared" si="69"/>
        <v>4.2835052708269372E-2</v>
      </c>
      <c r="CD22" s="53">
        <f t="shared" si="70"/>
        <v>475948.74685820704</v>
      </c>
      <c r="CE22" s="158">
        <f t="shared" si="71"/>
        <v>0</v>
      </c>
      <c r="CF22" s="146" t="s">
        <v>8</v>
      </c>
      <c r="CG22" s="154" t="s">
        <v>8</v>
      </c>
      <c r="CH22" s="157">
        <f t="shared" si="72"/>
        <v>0.500257176967148</v>
      </c>
      <c r="CI22" s="155">
        <f t="shared" si="73"/>
        <v>4.2835052708269372E-2</v>
      </c>
      <c r="CJ22" s="53">
        <f t="shared" si="74"/>
        <v>475948.74685820704</v>
      </c>
      <c r="CK22" s="158">
        <f t="shared" si="75"/>
        <v>0</v>
      </c>
      <c r="CL22" s="146" t="s">
        <v>8</v>
      </c>
      <c r="CM22" s="154" t="s">
        <v>8</v>
      </c>
      <c r="CN22" s="157">
        <f t="shared" si="76"/>
        <v>0.500257176967148</v>
      </c>
      <c r="CO22" s="155">
        <f t="shared" si="77"/>
        <v>4.2835052708269372E-2</v>
      </c>
      <c r="CP22" s="53">
        <f t="shared" si="78"/>
        <v>475948.74685820704</v>
      </c>
      <c r="CQ22" s="158">
        <f t="shared" si="79"/>
        <v>0</v>
      </c>
      <c r="CR22" s="146" t="s">
        <v>8</v>
      </c>
      <c r="CS22" s="154" t="s">
        <v>8</v>
      </c>
      <c r="CT22" s="157">
        <f t="shared" si="80"/>
        <v>0.500257176967148</v>
      </c>
      <c r="CU22" s="155">
        <f t="shared" si="81"/>
        <v>4.2835052708269372E-2</v>
      </c>
      <c r="CV22" s="53">
        <f t="shared" si="82"/>
        <v>475948.74685820704</v>
      </c>
      <c r="CW22" s="158">
        <f t="shared" si="83"/>
        <v>0</v>
      </c>
      <c r="CX22" s="146" t="s">
        <v>8</v>
      </c>
      <c r="CY22" s="154" t="s">
        <v>8</v>
      </c>
      <c r="CZ22" s="157">
        <f t="shared" si="84"/>
        <v>0.500257176967148</v>
      </c>
      <c r="DA22" s="155">
        <f t="shared" si="85"/>
        <v>4.2835052708269372E-2</v>
      </c>
      <c r="DB22" s="53">
        <f t="shared" si="86"/>
        <v>475948.74685820704</v>
      </c>
      <c r="DC22" s="158">
        <f t="shared" si="87"/>
        <v>0</v>
      </c>
      <c r="DD22" s="146" t="s">
        <v>8</v>
      </c>
      <c r="DE22" s="154" t="s">
        <v>8</v>
      </c>
      <c r="DF22" s="157">
        <f t="shared" si="88"/>
        <v>0.500257176967148</v>
      </c>
      <c r="DG22" s="155">
        <f t="shared" si="89"/>
        <v>4.2835052708269372E-2</v>
      </c>
      <c r="DH22" s="53">
        <f t="shared" si="90"/>
        <v>475948.74685820704</v>
      </c>
      <c r="DI22" s="158">
        <f t="shared" si="91"/>
        <v>0</v>
      </c>
      <c r="DJ22" s="146" t="s">
        <v>8</v>
      </c>
      <c r="DK22" s="154" t="s">
        <v>8</v>
      </c>
      <c r="DL22" s="157">
        <f t="shared" si="92"/>
        <v>0.500257176967148</v>
      </c>
      <c r="DM22" s="155">
        <f t="shared" si="93"/>
        <v>4.2835052708269372E-2</v>
      </c>
      <c r="DN22" s="53">
        <f t="shared" si="94"/>
        <v>475948.74685820704</v>
      </c>
      <c r="DO22" s="158">
        <f t="shared" si="95"/>
        <v>0</v>
      </c>
      <c r="DP22" s="146" t="s">
        <v>8</v>
      </c>
      <c r="DQ22" s="154" t="s">
        <v>8</v>
      </c>
      <c r="DR22" s="157">
        <f t="shared" si="96"/>
        <v>0.500257176967148</v>
      </c>
      <c r="DS22" s="155">
        <f t="shared" si="97"/>
        <v>4.2835052708269372E-2</v>
      </c>
      <c r="DT22" s="53">
        <f t="shared" si="98"/>
        <v>475948.74685820704</v>
      </c>
      <c r="DU22" s="158">
        <f t="shared" si="99"/>
        <v>0</v>
      </c>
      <c r="DV22" s="146" t="s">
        <v>8</v>
      </c>
      <c r="DW22" s="154" t="s">
        <v>8</v>
      </c>
      <c r="DX22" s="35">
        <f t="shared" si="100"/>
        <v>0.500257176967148</v>
      </c>
      <c r="DY22" s="155">
        <f t="shared" si="101"/>
        <v>4.2835052708269372E-2</v>
      </c>
      <c r="DZ22" s="34">
        <f t="shared" si="102"/>
        <v>475948.74685820704</v>
      </c>
      <c r="EA22" s="156">
        <f t="shared" si="103"/>
        <v>0</v>
      </c>
      <c r="EB22" s="146" t="s">
        <v>8</v>
      </c>
      <c r="EC22" s="154" t="s">
        <v>8</v>
      </c>
      <c r="ED22" s="35">
        <f t="shared" si="104"/>
        <v>0.500257176967148</v>
      </c>
      <c r="EE22" s="155">
        <f t="shared" si="105"/>
        <v>4.2835052708269372E-2</v>
      </c>
      <c r="EF22" s="34">
        <f t="shared" si="106"/>
        <v>475948.74685820704</v>
      </c>
      <c r="EG22" s="156">
        <f t="shared" si="107"/>
        <v>0</v>
      </c>
      <c r="EH22" s="146" t="s">
        <v>8</v>
      </c>
      <c r="EI22" s="154" t="s">
        <v>8</v>
      </c>
      <c r="EJ22" s="35">
        <f t="shared" si="108"/>
        <v>0.500257176967148</v>
      </c>
      <c r="EK22" s="155">
        <f t="shared" si="109"/>
        <v>4.2835052708269372E-2</v>
      </c>
      <c r="EL22" s="34">
        <f t="shared" si="110"/>
        <v>475948.74685820704</v>
      </c>
      <c r="EM22" s="156">
        <f t="shared" si="111"/>
        <v>0</v>
      </c>
      <c r="EN22" s="146" t="s">
        <v>8</v>
      </c>
      <c r="EO22" s="154" t="s">
        <v>8</v>
      </c>
      <c r="EP22" s="35">
        <f t="shared" si="112"/>
        <v>0.500257176967148</v>
      </c>
      <c r="EQ22" s="155">
        <f t="shared" si="113"/>
        <v>4.2835052708269372E-2</v>
      </c>
      <c r="ER22" s="34">
        <f t="shared" si="114"/>
        <v>475948.74685820704</v>
      </c>
      <c r="ES22" s="156">
        <f t="shared" si="115"/>
        <v>0</v>
      </c>
      <c r="ET22" s="146" t="s">
        <v>8</v>
      </c>
      <c r="EU22" s="154" t="s">
        <v>8</v>
      </c>
      <c r="EV22" s="35">
        <f t="shared" si="116"/>
        <v>0.500257176967148</v>
      </c>
      <c r="EW22" s="155">
        <f t="shared" si="117"/>
        <v>4.2835052708269372E-2</v>
      </c>
      <c r="EX22" s="34">
        <f t="shared" si="118"/>
        <v>475948.74685820704</v>
      </c>
      <c r="EY22" s="156">
        <f t="shared" si="119"/>
        <v>0</v>
      </c>
      <c r="EZ22" s="146" t="s">
        <v>8</v>
      </c>
      <c r="FA22" s="154" t="s">
        <v>8</v>
      </c>
      <c r="FB22" s="35">
        <f t="shared" si="120"/>
        <v>0.500257176967148</v>
      </c>
      <c r="FC22" s="155">
        <f t="shared" si="121"/>
        <v>4.2835052708269372E-2</v>
      </c>
      <c r="FD22" s="34">
        <f t="shared" si="122"/>
        <v>475948.74685820704</v>
      </c>
      <c r="FE22" s="156">
        <f t="shared" si="123"/>
        <v>0</v>
      </c>
      <c r="FF22" s="146" t="s">
        <v>8</v>
      </c>
      <c r="FG22" s="154" t="s">
        <v>8</v>
      </c>
      <c r="FH22" s="35">
        <f t="shared" si="124"/>
        <v>0.500257176967148</v>
      </c>
      <c r="FI22" s="155">
        <f t="shared" si="125"/>
        <v>4.2835052708269372E-2</v>
      </c>
      <c r="FJ22" s="34">
        <f t="shared" si="126"/>
        <v>475948.74685820704</v>
      </c>
      <c r="FK22" s="156">
        <f t="shared" si="127"/>
        <v>0</v>
      </c>
      <c r="FL22" s="146" t="s">
        <v>8</v>
      </c>
      <c r="FM22" s="154" t="s">
        <v>8</v>
      </c>
      <c r="FN22" s="35">
        <f t="shared" si="128"/>
        <v>0.500257176967148</v>
      </c>
      <c r="FO22" s="155">
        <f t="shared" si="129"/>
        <v>4.2835052708269372E-2</v>
      </c>
      <c r="FP22" s="34">
        <f t="shared" si="130"/>
        <v>475948.74685820704</v>
      </c>
      <c r="FQ22" s="156">
        <f t="shared" si="131"/>
        <v>0</v>
      </c>
      <c r="FR22" s="146" t="s">
        <v>8</v>
      </c>
      <c r="FS22" s="154" t="s">
        <v>8</v>
      </c>
      <c r="FT22" s="35">
        <f t="shared" si="132"/>
        <v>0.500257176967148</v>
      </c>
      <c r="FU22" s="155">
        <f t="shared" si="133"/>
        <v>4.2835052708269372E-2</v>
      </c>
      <c r="FV22" s="34">
        <f t="shared" si="134"/>
        <v>475948.74685820704</v>
      </c>
      <c r="FW22" s="156">
        <f t="shared" si="135"/>
        <v>0</v>
      </c>
      <c r="FX22" s="146" t="s">
        <v>8</v>
      </c>
      <c r="FY22" s="154" t="s">
        <v>8</v>
      </c>
      <c r="FZ22" s="35">
        <f t="shared" si="136"/>
        <v>0.500257176967148</v>
      </c>
      <c r="GA22" s="155">
        <f t="shared" si="137"/>
        <v>4.2835052708269372E-2</v>
      </c>
      <c r="GB22" s="34">
        <f t="shared" si="138"/>
        <v>475948.74685820704</v>
      </c>
      <c r="GC22" s="156">
        <f t="shared" si="139"/>
        <v>0</v>
      </c>
      <c r="GD22" s="146" t="s">
        <v>8</v>
      </c>
      <c r="GE22" s="154" t="s">
        <v>8</v>
      </c>
      <c r="GF22" s="35">
        <f t="shared" si="140"/>
        <v>0.500257176967148</v>
      </c>
      <c r="GG22" s="155">
        <f t="shared" si="141"/>
        <v>4.2835052708269372E-2</v>
      </c>
      <c r="GH22" s="34">
        <f t="shared" si="142"/>
        <v>475948.74685820704</v>
      </c>
      <c r="GI22" s="158">
        <f t="shared" si="143"/>
        <v>0</v>
      </c>
      <c r="GJ22" s="176">
        <f t="shared" si="146"/>
        <v>1979346.5403041975</v>
      </c>
      <c r="GK22" s="99">
        <f t="shared" si="144"/>
        <v>2094646.2590029766</v>
      </c>
      <c r="GL22" s="217">
        <f t="shared" si="145"/>
        <v>0.50025717696714811</v>
      </c>
      <c r="GM22" s="231">
        <f t="shared" si="147"/>
        <v>2094646.26</v>
      </c>
      <c r="GN22" s="233"/>
    </row>
    <row r="23" spans="1:196" ht="16.5" thickBot="1" x14ac:dyDescent="0.3">
      <c r="A23" s="103" t="s">
        <v>6</v>
      </c>
      <c r="B23" s="125">
        <v>21919778</v>
      </c>
      <c r="C23" s="121">
        <v>10</v>
      </c>
      <c r="D23" s="81">
        <f>B23*C23/100</f>
        <v>2191977.7999999998</v>
      </c>
      <c r="E23" s="110">
        <f>100-C23</f>
        <v>90</v>
      </c>
      <c r="F23" s="81">
        <f>B23-D23</f>
        <v>19727800.199999999</v>
      </c>
      <c r="G23" s="109">
        <f>SUM(G9:G22)</f>
        <v>11958</v>
      </c>
      <c r="H23" s="109">
        <f>SUM(H9:H22)</f>
        <v>15552317.220489563</v>
      </c>
      <c r="I23" s="45" t="s">
        <v>8</v>
      </c>
      <c r="J23" s="183">
        <f>H23/G23</f>
        <v>1300.5784596495705</v>
      </c>
      <c r="K23" s="120" t="s">
        <v>8</v>
      </c>
      <c r="L23" s="78">
        <f>SUM(L9:L22)</f>
        <v>2191977.7999999998</v>
      </c>
      <c r="M23" s="74" t="s">
        <v>8</v>
      </c>
      <c r="N23" s="46">
        <f>(SUMIF(M9:M22,"&lt;1")+1)/(COUNTIFS(M9:M22,"&lt;1")+1)</f>
        <v>0.15432600238918096</v>
      </c>
      <c r="O23" s="47" t="s">
        <v>8</v>
      </c>
      <c r="P23" s="44">
        <f>SUM(P9:P22)</f>
        <v>5010144.7650117353</v>
      </c>
      <c r="Q23" s="44">
        <f>SUM(Q9:Q22)</f>
        <v>5010144.7650117353</v>
      </c>
      <c r="R23" s="83">
        <f>F23-Q23</f>
        <v>14717655.434988264</v>
      </c>
      <c r="S23" s="46">
        <f>(SUMIF(T9:T22,"&lt;1")+1)/(COUNTIFS(T9:T22,"&lt;1")+1)</f>
        <v>0.25624576039177765</v>
      </c>
      <c r="T23" s="47" t="s">
        <v>8</v>
      </c>
      <c r="U23" s="47" t="s">
        <v>8</v>
      </c>
      <c r="V23" s="44">
        <f>SUM(V9:V22)</f>
        <v>5711959.8002192695</v>
      </c>
      <c r="W23" s="44">
        <f>SUM(W9:W22)</f>
        <v>5711959.8002192695</v>
      </c>
      <c r="X23" s="83">
        <f>R23-W23</f>
        <v>9005695.6347689945</v>
      </c>
      <c r="Y23" s="46">
        <f>(SUMIF(Z9:Z22,"&lt;1")+1)/(COUNTIFS(Z9:Z22,"&lt;1")+1)</f>
        <v>0.36706043894533896</v>
      </c>
      <c r="Z23" s="47" t="s">
        <v>8</v>
      </c>
      <c r="AA23" s="47" t="s">
        <v>8</v>
      </c>
      <c r="AB23" s="44">
        <f>SUM(AB9:AB22)</f>
        <v>5691996.6826063953</v>
      </c>
      <c r="AC23" s="44">
        <f>SUM(AC9:AC22)</f>
        <v>5691996.6826063953</v>
      </c>
      <c r="AD23" s="83">
        <f>X23-AC23</f>
        <v>3313698.9521625992</v>
      </c>
      <c r="AE23" s="46">
        <f>(SUMIF(AF9:AF22,"&lt;1")+1)/(COUNTIFS(AF9:AF22,"&lt;1")+1)</f>
        <v>0.47864834359683311</v>
      </c>
      <c r="AF23" s="47" t="s">
        <v>8</v>
      </c>
      <c r="AG23" s="47" t="s">
        <v>8</v>
      </c>
      <c r="AH23" s="44">
        <f>SUM(AH9:AH22)</f>
        <v>5204839.0785137285</v>
      </c>
      <c r="AI23" s="44">
        <f>SUM(AI9:AI22)</f>
        <v>3313698.9521625987</v>
      </c>
      <c r="AJ23" s="83">
        <f>AD23-AI23</f>
        <v>0</v>
      </c>
      <c r="AK23" s="46">
        <f>(SUMIF(AL9:AL22,"&lt;1")+1)/(COUNTIFS(AL9:AL22,"&lt;1")+1)</f>
        <v>0.54309222967541737</v>
      </c>
      <c r="AL23" s="47" t="s">
        <v>8</v>
      </c>
      <c r="AM23" s="47" t="s">
        <v>8</v>
      </c>
      <c r="AN23" s="44">
        <f>SUM(AN9:AN22)</f>
        <v>4616273.6696802434</v>
      </c>
      <c r="AO23" s="44">
        <f>SUM(AO9:AO22)</f>
        <v>0</v>
      </c>
      <c r="AP23" s="83">
        <f>AJ23-AO23</f>
        <v>0</v>
      </c>
      <c r="AQ23" s="46">
        <f>(SUMIF(AR9:AR22,"&lt;1")+1)/(COUNTIFS(AR9:AR22,"&lt;1")+1)</f>
        <v>0.54309222967541737</v>
      </c>
      <c r="AR23" s="47" t="s">
        <v>8</v>
      </c>
      <c r="AS23" s="47" t="s">
        <v>8</v>
      </c>
      <c r="AT23" s="44">
        <f>SUM(AT9:AT22)</f>
        <v>4616273.6696802434</v>
      </c>
      <c r="AU23" s="81">
        <f>SUM(AU9:AU22)</f>
        <v>0</v>
      </c>
      <c r="AV23" s="83">
        <f>AP23-AU23</f>
        <v>0</v>
      </c>
      <c r="AW23" s="46">
        <f>(SUMIF(AX9:AX22,"&lt;1")+1)/(COUNTIFS(AX9:AX22,"&lt;1")+1)</f>
        <v>0.54309222967541737</v>
      </c>
      <c r="AX23" s="47" t="s">
        <v>8</v>
      </c>
      <c r="AY23" s="47" t="s">
        <v>8</v>
      </c>
      <c r="AZ23" s="44">
        <f>SUM(AZ9:AZ22)</f>
        <v>4616273.6696802434</v>
      </c>
      <c r="BA23" s="44">
        <f>SUM(BA9:BA22)</f>
        <v>0</v>
      </c>
      <c r="BB23" s="83">
        <f>AV23-BA23</f>
        <v>0</v>
      </c>
      <c r="BC23" s="46">
        <f>(SUMIF(BD9:BD22,"&lt;1")+1)/(COUNTIFS(BD9:BD22,"&lt;1")+1)</f>
        <v>0.54309222967541737</v>
      </c>
      <c r="BD23" s="47" t="s">
        <v>8</v>
      </c>
      <c r="BE23" s="47" t="s">
        <v>8</v>
      </c>
      <c r="BF23" s="44">
        <f>SUM(BF9:BF22)</f>
        <v>4616273.6696802434</v>
      </c>
      <c r="BG23" s="44">
        <f>SUM(BG9:BG22)</f>
        <v>0</v>
      </c>
      <c r="BH23" s="83">
        <f>BB23-BG23</f>
        <v>0</v>
      </c>
      <c r="BI23" s="46">
        <f>(SUMIF(BJ9:BJ22,"&lt;1")+1)/(COUNTIFS(BJ9:BJ22,"&lt;1")+1)</f>
        <v>0.54309222967541737</v>
      </c>
      <c r="BJ23" s="47" t="s">
        <v>8</v>
      </c>
      <c r="BK23" s="47" t="s">
        <v>8</v>
      </c>
      <c r="BL23" s="44">
        <f>SUM(BL9:BL22)</f>
        <v>4616273.6696802434</v>
      </c>
      <c r="BM23" s="44">
        <f>SUM(BM9:BM22)</f>
        <v>0</v>
      </c>
      <c r="BN23" s="83">
        <f>BH23-BM23</f>
        <v>0</v>
      </c>
      <c r="BO23" s="46">
        <f>(SUMIF(BP9:BP22,"&lt;1")+1)/(COUNTIFS(BP9:BP22,"&lt;1")+1)</f>
        <v>0.54309222967541737</v>
      </c>
      <c r="BP23" s="47" t="s">
        <v>8</v>
      </c>
      <c r="BQ23" s="47" t="s">
        <v>8</v>
      </c>
      <c r="BR23" s="44">
        <f>SUM(BR9:BR22)</f>
        <v>4616273.6696802434</v>
      </c>
      <c r="BS23" s="44">
        <f>SUM(BS9:BS22)</f>
        <v>0</v>
      </c>
      <c r="BT23" s="83">
        <f>BN23-BS23</f>
        <v>0</v>
      </c>
      <c r="BU23" s="46">
        <f>(SUMIF(BV9:BV22,"&lt;1")+1)/(COUNTIFS(BV9:BV22,"&lt;1")+1)</f>
        <v>0.54309222967541737</v>
      </c>
      <c r="BV23" s="47" t="s">
        <v>8</v>
      </c>
      <c r="BW23" s="47" t="s">
        <v>8</v>
      </c>
      <c r="BX23" s="44">
        <f>SUM(BX9:BX22)</f>
        <v>4616273.6696802434</v>
      </c>
      <c r="BY23" s="44">
        <f>SUM(BY9:BY22)</f>
        <v>0</v>
      </c>
      <c r="BZ23" s="83">
        <f>BT23-BY23</f>
        <v>0</v>
      </c>
      <c r="CA23" s="46">
        <f>(SUMIF(CB9:CB22,"&lt;1")+1)/(COUNTIFS(CB9:CB22,"&lt;1")+1)</f>
        <v>0.54309222967541737</v>
      </c>
      <c r="CB23" s="47" t="s">
        <v>8</v>
      </c>
      <c r="CC23" s="47" t="s">
        <v>8</v>
      </c>
      <c r="CD23" s="44">
        <f>SUM(CD9:CD22)</f>
        <v>4616273.6696802434</v>
      </c>
      <c r="CE23" s="44">
        <f>SUM(CE9:CE22)</f>
        <v>0</v>
      </c>
      <c r="CF23" s="83">
        <f>BZ23-CE23</f>
        <v>0</v>
      </c>
      <c r="CG23" s="46">
        <f>(SUMIF(CH9:CH22,"&lt;1")+1)/(COUNTIFS(CH9:CH22,"&lt;1")+1)</f>
        <v>0.54309222967541737</v>
      </c>
      <c r="CH23" s="47" t="s">
        <v>8</v>
      </c>
      <c r="CI23" s="47" t="s">
        <v>8</v>
      </c>
      <c r="CJ23" s="44">
        <f>SUM(CJ9:CJ22)</f>
        <v>4616273.6696802434</v>
      </c>
      <c r="CK23" s="44">
        <f>SUM(CK9:CK22)</f>
        <v>0</v>
      </c>
      <c r="CL23" s="83">
        <f>CF23-CK23</f>
        <v>0</v>
      </c>
      <c r="CM23" s="46">
        <f>(SUMIF(CN9:CN22,"&lt;1")+1)/(COUNTIFS(CN9:CN22,"&lt;1")+1)</f>
        <v>0.54309222967541737</v>
      </c>
      <c r="CN23" s="47" t="s">
        <v>8</v>
      </c>
      <c r="CO23" s="47" t="s">
        <v>8</v>
      </c>
      <c r="CP23" s="44">
        <f>SUM(CP9:CP22)</f>
        <v>4616273.6696802434</v>
      </c>
      <c r="CQ23" s="44">
        <f>SUM(CQ9:CQ22)</f>
        <v>0</v>
      </c>
      <c r="CR23" s="83">
        <f>CL23-CQ23</f>
        <v>0</v>
      </c>
      <c r="CS23" s="46">
        <f>(SUMIF(CT9:CT22,"&lt;1")+1)/(COUNTIFS(CT9:CT22,"&lt;1")+1)</f>
        <v>0.54309222967541737</v>
      </c>
      <c r="CT23" s="47" t="s">
        <v>8</v>
      </c>
      <c r="CU23" s="47" t="s">
        <v>8</v>
      </c>
      <c r="CV23" s="44">
        <f>SUM(CV9:CV22)</f>
        <v>4616273.6696802434</v>
      </c>
      <c r="CW23" s="44">
        <f>SUM(CW9:CW22)</f>
        <v>0</v>
      </c>
      <c r="CX23" s="83">
        <f>CR23-CW23</f>
        <v>0</v>
      </c>
      <c r="CY23" s="46">
        <f>(SUMIF(CZ9:CZ22,"&lt;1")+1)/(COUNTIFS(CZ9:CZ22,"&lt;1")+1)</f>
        <v>0.54309222967541737</v>
      </c>
      <c r="CZ23" s="47" t="s">
        <v>8</v>
      </c>
      <c r="DA23" s="47" t="s">
        <v>8</v>
      </c>
      <c r="DB23" s="44">
        <f>SUM(DB9:DB22)</f>
        <v>4616273.6696802434</v>
      </c>
      <c r="DC23" s="44">
        <f>SUM(DC9:DC22)</f>
        <v>0</v>
      </c>
      <c r="DD23" s="83">
        <f>CX23-DC23</f>
        <v>0</v>
      </c>
      <c r="DE23" s="46">
        <f>(SUMIF(DF9:DF22,"&lt;1")+1)/(COUNTIFS(DF9:DF22,"&lt;1")+1)</f>
        <v>0.54309222967541737</v>
      </c>
      <c r="DF23" s="47" t="s">
        <v>8</v>
      </c>
      <c r="DG23" s="47" t="s">
        <v>8</v>
      </c>
      <c r="DH23" s="44">
        <f>SUM(DH9:DH22)</f>
        <v>4616273.6696802434</v>
      </c>
      <c r="DI23" s="44">
        <f>SUM(DI9:DI22)</f>
        <v>0</v>
      </c>
      <c r="DJ23" s="83">
        <f>DD23-DI23</f>
        <v>0</v>
      </c>
      <c r="DK23" s="46">
        <f>(SUMIF(DL9:DL22,"&lt;1")+1)/(COUNTIFS(DL9:DL22,"&lt;1")+1)</f>
        <v>0.54309222967541737</v>
      </c>
      <c r="DL23" s="47" t="s">
        <v>8</v>
      </c>
      <c r="DM23" s="47" t="s">
        <v>8</v>
      </c>
      <c r="DN23" s="44">
        <f>SUM(DN9:DN22)</f>
        <v>4616273.6696802434</v>
      </c>
      <c r="DO23" s="44">
        <f>SUM(DO9:DO22)</f>
        <v>0</v>
      </c>
      <c r="DP23" s="83">
        <f>DJ23-DO23</f>
        <v>0</v>
      </c>
      <c r="DQ23" s="46">
        <f>(SUMIF(DR9:DR22,"&lt;1")+1)/(COUNTIFS(DR9:DR22,"&lt;1")+1)</f>
        <v>0.54309222967541737</v>
      </c>
      <c r="DR23" s="47" t="s">
        <v>8</v>
      </c>
      <c r="DS23" s="47" t="s">
        <v>8</v>
      </c>
      <c r="DT23" s="44">
        <f>SUM(DT9:DT22)</f>
        <v>4616273.6696802434</v>
      </c>
      <c r="DU23" s="44">
        <f>SUM(DU9:DU22)</f>
        <v>0</v>
      </c>
      <c r="DV23" s="83">
        <f>DP23-DU23</f>
        <v>0</v>
      </c>
      <c r="DW23" s="46">
        <f>(SUMIF(DX9:DX22,"&lt;1")+1)/(COUNTIFS(DX9:DX22,"&lt;1")+1)</f>
        <v>0.54309222967541737</v>
      </c>
      <c r="DX23" s="47" t="s">
        <v>8</v>
      </c>
      <c r="DY23" s="47" t="s">
        <v>8</v>
      </c>
      <c r="DZ23" s="159">
        <f>SUM(DZ9:DZ22)</f>
        <v>4616273.6696802434</v>
      </c>
      <c r="EA23" s="44">
        <f>SUM(EA9:EA22)</f>
        <v>0</v>
      </c>
      <c r="EB23" s="83">
        <f>DV23-EA23</f>
        <v>0</v>
      </c>
      <c r="EC23" s="46">
        <f>(SUMIF(ED9:ED22,"&lt;1")+1)/(COUNTIFS(ED9:ED22,"&lt;1")+1)</f>
        <v>0.54309222967541737</v>
      </c>
      <c r="ED23" s="47" t="s">
        <v>8</v>
      </c>
      <c r="EE23" s="47" t="s">
        <v>8</v>
      </c>
      <c r="EF23" s="159">
        <f>SUM(EF9:EF22)</f>
        <v>4616273.6696802434</v>
      </c>
      <c r="EG23" s="44">
        <f>SUM(EG9:EG22)</f>
        <v>0</v>
      </c>
      <c r="EH23" s="83">
        <f>EB23-EG23</f>
        <v>0</v>
      </c>
      <c r="EI23" s="46">
        <f>(SUMIF(EJ9:EJ22,"&lt;1")+1)/(COUNTIFS(EJ9:EJ22,"&lt;1")+1)</f>
        <v>0.54309222967541737</v>
      </c>
      <c r="EJ23" s="47" t="s">
        <v>8</v>
      </c>
      <c r="EK23" s="47" t="s">
        <v>8</v>
      </c>
      <c r="EL23" s="159">
        <f>SUM(EL9:EL22)</f>
        <v>4616273.6696802434</v>
      </c>
      <c r="EM23" s="44">
        <f>SUM(EM9:EM22)</f>
        <v>0</v>
      </c>
      <c r="EN23" s="83">
        <f>EH23-EM23</f>
        <v>0</v>
      </c>
      <c r="EO23" s="46">
        <f>(SUMIF(EP9:EP22,"&lt;1")+1)/(COUNTIFS(EP9:EP22,"&lt;1")+1)</f>
        <v>0.54309222967541737</v>
      </c>
      <c r="EP23" s="47" t="s">
        <v>8</v>
      </c>
      <c r="EQ23" s="47" t="s">
        <v>8</v>
      </c>
      <c r="ER23" s="159">
        <f>SUM(ER9:ER22)</f>
        <v>4616273.6696802434</v>
      </c>
      <c r="ES23" s="44">
        <f>SUM(ES9:ES22)</f>
        <v>0</v>
      </c>
      <c r="ET23" s="83">
        <f>EN23-ES23</f>
        <v>0</v>
      </c>
      <c r="EU23" s="46">
        <f>(SUMIF(EV9:EV22,"&lt;1")+1)/(COUNTIFS(EV9:EV22,"&lt;1")+1)</f>
        <v>0.54309222967541737</v>
      </c>
      <c r="EV23" s="47" t="s">
        <v>8</v>
      </c>
      <c r="EW23" s="47" t="s">
        <v>8</v>
      </c>
      <c r="EX23" s="159">
        <f>SUM(EX9:EX22)</f>
        <v>4616273.6696802434</v>
      </c>
      <c r="EY23" s="44">
        <f>SUM(EY9:EY22)</f>
        <v>0</v>
      </c>
      <c r="EZ23" s="83">
        <f>ET23-EY23</f>
        <v>0</v>
      </c>
      <c r="FA23" s="46">
        <f>(SUMIF(FB9:FB22,"&lt;1")+1)/(COUNTIFS(FB9:FB22,"&lt;1")+1)</f>
        <v>0.54309222967541737</v>
      </c>
      <c r="FB23" s="47" t="s">
        <v>8</v>
      </c>
      <c r="FC23" s="47" t="s">
        <v>8</v>
      </c>
      <c r="FD23" s="159">
        <f>SUM(FD9:FD22)</f>
        <v>4616273.6696802434</v>
      </c>
      <c r="FE23" s="44">
        <f>SUM(FE9:FE22)</f>
        <v>0</v>
      </c>
      <c r="FF23" s="83">
        <f>EZ23-FE23</f>
        <v>0</v>
      </c>
      <c r="FG23" s="46">
        <f>(SUMIF(FH9:FH22,"&lt;1")+1)/(COUNTIFS(FH9:FH22,"&lt;1")+1)</f>
        <v>0.54309222967541737</v>
      </c>
      <c r="FH23" s="47" t="s">
        <v>8</v>
      </c>
      <c r="FI23" s="47" t="s">
        <v>8</v>
      </c>
      <c r="FJ23" s="159">
        <f>SUM(FJ9:FJ22)</f>
        <v>4616273.6696802434</v>
      </c>
      <c r="FK23" s="44">
        <f>SUM(FK9:FK22)</f>
        <v>0</v>
      </c>
      <c r="FL23" s="83">
        <f>FF23-FK23</f>
        <v>0</v>
      </c>
      <c r="FM23" s="46">
        <f>(SUMIF(FN9:FN22,"&lt;1")+1)/(COUNTIFS(FN9:FN22,"&lt;1")+1)</f>
        <v>0.54309222967541737</v>
      </c>
      <c r="FN23" s="47" t="s">
        <v>8</v>
      </c>
      <c r="FO23" s="47" t="s">
        <v>8</v>
      </c>
      <c r="FP23" s="159">
        <f>SUM(FP9:FP22)</f>
        <v>4616273.6696802434</v>
      </c>
      <c r="FQ23" s="44">
        <f>SUM(FQ9:FQ22)</f>
        <v>0</v>
      </c>
      <c r="FR23" s="83">
        <f>FL23-FQ23</f>
        <v>0</v>
      </c>
      <c r="FS23" s="46">
        <f>(SUMIF(FT9:FT22,"&lt;1")+1)/(COUNTIFS(FT9:FT22,"&lt;1")+1)</f>
        <v>0.54309222967541737</v>
      </c>
      <c r="FT23" s="47" t="s">
        <v>8</v>
      </c>
      <c r="FU23" s="47" t="s">
        <v>8</v>
      </c>
      <c r="FV23" s="159">
        <f>SUM(FV9:FV22)</f>
        <v>4616273.6696802434</v>
      </c>
      <c r="FW23" s="44">
        <f>SUM(FW9:FW22)</f>
        <v>0</v>
      </c>
      <c r="FX23" s="83">
        <f>FR23-FW23</f>
        <v>0</v>
      </c>
      <c r="FY23" s="46">
        <f>(SUMIF(FZ9:FZ22,"&lt;1")+1)/(COUNTIFS(FZ9:FZ22,"&lt;1")+1)</f>
        <v>0.54309222967541737</v>
      </c>
      <c r="FZ23" s="47" t="s">
        <v>8</v>
      </c>
      <c r="GA23" s="47" t="s">
        <v>8</v>
      </c>
      <c r="GB23" s="159">
        <f>SUM(GB9:GB22)</f>
        <v>4616273.6696802434</v>
      </c>
      <c r="GC23" s="44">
        <f>SUM(GC9:GC22)</f>
        <v>0</v>
      </c>
      <c r="GD23" s="83">
        <f>FX23-GC23</f>
        <v>0</v>
      </c>
      <c r="GE23" s="46">
        <f>(SUMIF(GF9:GF22,"&lt;1")+1)/(COUNTIFS(GF9:GF22,"&lt;1")+1)</f>
        <v>0.54309222967541737</v>
      </c>
      <c r="GF23" s="47" t="s">
        <v>8</v>
      </c>
      <c r="GG23" s="47" t="s">
        <v>8</v>
      </c>
      <c r="GH23" s="159">
        <f>SUM(GH9:GH22)</f>
        <v>4616273.6696802434</v>
      </c>
      <c r="GI23" s="44">
        <f>SUM(GI9:GI22)</f>
        <v>0</v>
      </c>
      <c r="GJ23" s="189">
        <f>SUM(GJ9:GJ22)</f>
        <v>19727800.200000003</v>
      </c>
      <c r="GK23" s="191">
        <f t="shared" si="144"/>
        <v>21919778.000000004</v>
      </c>
      <c r="GL23" s="218" t="s">
        <v>8</v>
      </c>
      <c r="GM23" s="231">
        <f>SUM(GM9:GM22)</f>
        <v>21919778.000000004</v>
      </c>
    </row>
  </sheetData>
  <protectedRanges>
    <protectedRange sqref="A9:A22" name="Диапазон3_1"/>
    <protectedRange sqref="A9:A22" name="Диапазон2_1"/>
  </protectedRanges>
  <mergeCells count="49">
    <mergeCell ref="R4:W4"/>
    <mergeCell ref="GM3:GM5"/>
    <mergeCell ref="EH4:EM4"/>
    <mergeCell ref="CR4:CW4"/>
    <mergeCell ref="FX4:GC4"/>
    <mergeCell ref="GD4:GI4"/>
    <mergeCell ref="FF4:FK4"/>
    <mergeCell ref="FL4:FQ4"/>
    <mergeCell ref="FR4:FW4"/>
    <mergeCell ref="GK3:GK5"/>
    <mergeCell ref="GL3:GL5"/>
    <mergeCell ref="GJ3:GJ5"/>
    <mergeCell ref="CX4:DC4"/>
    <mergeCell ref="EZ4:FE4"/>
    <mergeCell ref="DD4:DI4"/>
    <mergeCell ref="AJ4:AO4"/>
    <mergeCell ref="BH4:BM4"/>
    <mergeCell ref="X4:AC4"/>
    <mergeCell ref="AD4:AI4"/>
    <mergeCell ref="AP4:AU4"/>
    <mergeCell ref="BB4:BG4"/>
    <mergeCell ref="AV4:BA4"/>
    <mergeCell ref="EN4:ES4"/>
    <mergeCell ref="ET4:EY4"/>
    <mergeCell ref="BN4:BS4"/>
    <mergeCell ref="BT4:BY4"/>
    <mergeCell ref="BZ4:CE4"/>
    <mergeCell ref="CF4:CK4"/>
    <mergeCell ref="CL4:CQ4"/>
    <mergeCell ref="DJ4:DO4"/>
    <mergeCell ref="DP4:DU4"/>
    <mergeCell ref="DV4:EA4"/>
    <mergeCell ref="EB4:EG4"/>
    <mergeCell ref="L4:L5"/>
    <mergeCell ref="M4:Q4"/>
    <mergeCell ref="A3:A6"/>
    <mergeCell ref="B3:B5"/>
    <mergeCell ref="C3:F3"/>
    <mergeCell ref="G3:J3"/>
    <mergeCell ref="K3:K5"/>
    <mergeCell ref="J4:J5"/>
    <mergeCell ref="C4:D4"/>
    <mergeCell ref="E4:F4"/>
    <mergeCell ref="G4:G5"/>
    <mergeCell ref="H4:H5"/>
    <mergeCell ref="I4:I5"/>
    <mergeCell ref="C5:D5"/>
    <mergeCell ref="E5:F5"/>
    <mergeCell ref="M3:BS3"/>
  </mergeCells>
  <pageMargins left="0.70866141732283472" right="0.70866141732283472" top="0.74803149606299213" bottom="0.74803149606299213" header="0.31496062992125984" footer="0.31496062992125984"/>
  <pageSetup paperSize="9" scale="65" fitToWidth="1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3"/>
  <sheetViews>
    <sheetView topLeftCell="FL7" zoomScale="86" zoomScaleNormal="86" workbookViewId="0">
      <selection activeCell="GM24" sqref="GM24"/>
    </sheetView>
  </sheetViews>
  <sheetFormatPr defaultRowHeight="12.75" x14ac:dyDescent="0.2"/>
  <cols>
    <col min="1" max="1" width="21.140625" customWidth="1"/>
    <col min="2" max="2" width="15.140625" customWidth="1"/>
    <col min="3" max="3" width="10.28515625" bestFit="1" customWidth="1"/>
    <col min="4" max="4" width="17" customWidth="1"/>
    <col min="5" max="5" width="10.28515625" bestFit="1" customWidth="1"/>
    <col min="6" max="6" width="15.140625" customWidth="1"/>
    <col min="7" max="7" width="8.85546875" customWidth="1"/>
    <col min="8" max="8" width="12.140625" bestFit="1" customWidth="1"/>
    <col min="9" max="9" width="8.5703125" customWidth="1"/>
    <col min="10" max="10" width="16" bestFit="1" customWidth="1"/>
    <col min="11" max="11" width="8.5703125" customWidth="1"/>
    <col min="12" max="12" width="18.85546875" customWidth="1"/>
    <col min="13" max="15" width="8.5703125" customWidth="1"/>
    <col min="16" max="16" width="17.7109375" customWidth="1"/>
    <col min="17" max="17" width="16.85546875" customWidth="1"/>
    <col min="18" max="18" width="20" customWidth="1"/>
    <col min="19" max="21" width="8.5703125" customWidth="1"/>
    <col min="22" max="22" width="15.140625" customWidth="1"/>
    <col min="23" max="24" width="16" customWidth="1"/>
    <col min="25" max="27" width="8.5703125" customWidth="1"/>
    <col min="28" max="28" width="17.5703125" customWidth="1"/>
    <col min="29" max="29" width="17.140625" customWidth="1"/>
    <col min="30" max="30" width="17.7109375" customWidth="1"/>
    <col min="31" max="33" width="8.5703125" customWidth="1"/>
    <col min="34" max="34" width="16.140625" customWidth="1"/>
    <col min="35" max="35" width="17" customWidth="1"/>
    <col min="36" max="36" width="18" customWidth="1"/>
    <col min="37" max="39" width="8.5703125" customWidth="1"/>
    <col min="40" max="40" width="15.7109375" customWidth="1"/>
    <col min="41" max="41" width="16.28515625" customWidth="1"/>
    <col min="42" max="42" width="15.140625" customWidth="1"/>
    <col min="43" max="45" width="8.5703125" customWidth="1"/>
    <col min="46" max="46" width="15.28515625" customWidth="1"/>
    <col min="47" max="47" width="16.7109375" customWidth="1"/>
    <col min="48" max="48" width="12.140625" bestFit="1" customWidth="1"/>
    <col min="49" max="51" width="8.5703125" customWidth="1"/>
    <col min="52" max="52" width="16.140625" customWidth="1"/>
    <col min="53" max="53" width="12.140625" bestFit="1" customWidth="1"/>
    <col min="54" max="54" width="8.28515625" customWidth="1"/>
    <col min="55" max="57" width="8.5703125" customWidth="1"/>
    <col min="58" max="58" width="15" customWidth="1"/>
    <col min="59" max="60" width="8.28515625" customWidth="1"/>
    <col min="61" max="63" width="8.5703125" customWidth="1"/>
    <col min="64" max="64" width="15.5703125" customWidth="1"/>
    <col min="65" max="66" width="8.28515625" customWidth="1"/>
    <col min="67" max="69" width="8.5703125" customWidth="1"/>
    <col min="70" max="70" width="15.42578125" customWidth="1"/>
    <col min="71" max="72" width="8.28515625" customWidth="1"/>
    <col min="73" max="75" width="8.5703125" customWidth="1"/>
    <col min="76" max="76" width="15" customWidth="1"/>
    <col min="77" max="78" width="8.28515625" customWidth="1"/>
    <col min="79" max="81" width="8.5703125" customWidth="1"/>
    <col min="82" max="82" width="17.28515625" customWidth="1"/>
    <col min="83" max="84" width="8.28515625" customWidth="1"/>
    <col min="85" max="87" width="8.5703125" customWidth="1"/>
    <col min="88" max="88" width="16.28515625" customWidth="1"/>
    <col min="89" max="90" width="8.28515625" customWidth="1"/>
    <col min="91" max="93" width="8.5703125" customWidth="1"/>
    <col min="94" max="94" width="14.85546875" customWidth="1"/>
    <col min="95" max="96" width="8.28515625" customWidth="1"/>
    <col min="97" max="99" width="8.5703125" customWidth="1"/>
    <col min="100" max="100" width="15.28515625" customWidth="1"/>
    <col min="101" max="102" width="8.28515625" customWidth="1"/>
    <col min="103" max="105" width="8.5703125" customWidth="1"/>
    <col min="106" max="106" width="15" customWidth="1"/>
    <col min="107" max="108" width="8.28515625" customWidth="1"/>
    <col min="109" max="111" width="8.5703125" customWidth="1"/>
    <col min="112" max="112" width="14.5703125" customWidth="1"/>
    <col min="113" max="114" width="8.28515625" customWidth="1"/>
    <col min="115" max="117" width="8.5703125" customWidth="1"/>
    <col min="118" max="118" width="14" customWidth="1"/>
    <col min="119" max="120" width="8.28515625" customWidth="1"/>
    <col min="121" max="123" width="8.5703125" customWidth="1"/>
    <col min="124" max="124" width="14.85546875" customWidth="1"/>
    <col min="125" max="126" width="8.28515625" customWidth="1"/>
    <col min="127" max="129" width="8.5703125" customWidth="1"/>
    <col min="130" max="130" width="15.85546875" customWidth="1"/>
    <col min="131" max="132" width="8.28515625" customWidth="1"/>
    <col min="133" max="135" width="8.5703125" customWidth="1"/>
    <col min="136" max="136" width="16.140625" customWidth="1"/>
    <col min="137" max="138" width="8.28515625" customWidth="1"/>
    <col min="139" max="141" width="8.5703125" customWidth="1"/>
    <col min="142" max="142" width="14.5703125" customWidth="1"/>
    <col min="143" max="144" width="8.28515625" customWidth="1"/>
    <col min="145" max="147" width="8.5703125" customWidth="1"/>
    <col min="148" max="148" width="15.28515625" customWidth="1"/>
    <col min="149" max="150" width="8.28515625" customWidth="1"/>
    <col min="151" max="153" width="8.5703125" customWidth="1"/>
    <col min="154" max="154" width="15.5703125" customWidth="1"/>
    <col min="155" max="156" width="8.28515625" customWidth="1"/>
    <col min="157" max="159" width="8.5703125" customWidth="1"/>
    <col min="160" max="160" width="14.85546875" customWidth="1"/>
    <col min="161" max="162" width="8.28515625" customWidth="1"/>
    <col min="163" max="165" width="8.5703125" customWidth="1"/>
    <col min="166" max="166" width="14.42578125" customWidth="1"/>
    <col min="167" max="168" width="8.28515625" customWidth="1"/>
    <col min="169" max="171" width="8.5703125" customWidth="1"/>
    <col min="172" max="172" width="16" customWidth="1"/>
    <col min="173" max="174" width="8.28515625" customWidth="1"/>
    <col min="175" max="177" width="8.5703125" customWidth="1"/>
    <col min="178" max="178" width="16.140625" customWidth="1"/>
    <col min="179" max="180" width="8.28515625" customWidth="1"/>
    <col min="181" max="183" width="8.5703125" customWidth="1"/>
    <col min="184" max="184" width="15.28515625" customWidth="1"/>
    <col min="185" max="185" width="9.42578125" customWidth="1"/>
    <col min="186" max="186" width="8.28515625" customWidth="1"/>
    <col min="187" max="189" width="8.5703125" customWidth="1"/>
    <col min="190" max="190" width="15.140625" customWidth="1"/>
    <col min="191" max="191" width="8.28515625" customWidth="1"/>
    <col min="192" max="193" width="15.140625" bestFit="1" customWidth="1"/>
    <col min="194" max="194" width="14.5703125" customWidth="1"/>
    <col min="195" max="195" width="16.7109375" customWidth="1"/>
    <col min="196" max="196" width="13.5703125" customWidth="1"/>
  </cols>
  <sheetData>
    <row r="1" spans="1:196" ht="20.25" x14ac:dyDescent="0.2">
      <c r="A1" s="122"/>
      <c r="B1" s="122" t="s">
        <v>211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</row>
    <row r="2" spans="1:196" ht="16.5" thickBo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</row>
    <row r="3" spans="1:196" ht="16.5" thickBot="1" x14ac:dyDescent="0.25">
      <c r="A3" s="262" t="s">
        <v>7</v>
      </c>
      <c r="B3" s="265" t="s">
        <v>58</v>
      </c>
      <c r="C3" s="268" t="s">
        <v>9</v>
      </c>
      <c r="D3" s="269"/>
      <c r="E3" s="269"/>
      <c r="F3" s="270"/>
      <c r="G3" s="285" t="s">
        <v>59</v>
      </c>
      <c r="H3" s="286"/>
      <c r="I3" s="286"/>
      <c r="J3" s="287"/>
      <c r="K3" s="293" t="s">
        <v>80</v>
      </c>
      <c r="L3" s="69" t="s">
        <v>51</v>
      </c>
      <c r="M3" s="290" t="s">
        <v>76</v>
      </c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291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291"/>
      <c r="BA3" s="291"/>
      <c r="BB3" s="291"/>
      <c r="BC3" s="291"/>
      <c r="BD3" s="291"/>
      <c r="BE3" s="291"/>
      <c r="BF3" s="291"/>
      <c r="BG3" s="291"/>
      <c r="BH3" s="291"/>
      <c r="BI3" s="291"/>
      <c r="BJ3" s="291"/>
      <c r="BK3" s="291"/>
      <c r="BL3" s="291"/>
      <c r="BM3" s="291"/>
      <c r="BN3" s="291"/>
      <c r="BO3" s="291"/>
      <c r="BP3" s="291"/>
      <c r="BQ3" s="291"/>
      <c r="BR3" s="291"/>
      <c r="BS3" s="292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296" t="s">
        <v>81</v>
      </c>
      <c r="GK3" s="259" t="s">
        <v>82</v>
      </c>
      <c r="GL3" s="299" t="s">
        <v>79</v>
      </c>
      <c r="GM3" s="302" t="s">
        <v>194</v>
      </c>
    </row>
    <row r="4" spans="1:196" ht="18.75" x14ac:dyDescent="0.2">
      <c r="A4" s="263"/>
      <c r="B4" s="266"/>
      <c r="C4" s="273" t="s">
        <v>10</v>
      </c>
      <c r="D4" s="274"/>
      <c r="E4" s="273" t="s">
        <v>11</v>
      </c>
      <c r="F4" s="274"/>
      <c r="G4" s="276" t="s">
        <v>196</v>
      </c>
      <c r="H4" s="278" t="s">
        <v>12</v>
      </c>
      <c r="I4" s="278" t="s">
        <v>64</v>
      </c>
      <c r="J4" s="288" t="s">
        <v>67</v>
      </c>
      <c r="K4" s="294"/>
      <c r="L4" s="280" t="s">
        <v>77</v>
      </c>
      <c r="M4" s="256" t="s">
        <v>13</v>
      </c>
      <c r="N4" s="257"/>
      <c r="O4" s="257"/>
      <c r="P4" s="257"/>
      <c r="Q4" s="275"/>
      <c r="R4" s="256" t="s">
        <v>14</v>
      </c>
      <c r="S4" s="257"/>
      <c r="T4" s="257"/>
      <c r="U4" s="257"/>
      <c r="V4" s="257"/>
      <c r="W4" s="275"/>
      <c r="X4" s="256" t="s">
        <v>15</v>
      </c>
      <c r="Y4" s="257"/>
      <c r="Z4" s="257"/>
      <c r="AA4" s="257"/>
      <c r="AB4" s="257"/>
      <c r="AC4" s="275"/>
      <c r="AD4" s="256" t="s">
        <v>16</v>
      </c>
      <c r="AE4" s="257"/>
      <c r="AF4" s="257"/>
      <c r="AG4" s="257"/>
      <c r="AH4" s="257"/>
      <c r="AI4" s="275"/>
      <c r="AJ4" s="256" t="s">
        <v>17</v>
      </c>
      <c r="AK4" s="257"/>
      <c r="AL4" s="257"/>
      <c r="AM4" s="257"/>
      <c r="AN4" s="257"/>
      <c r="AO4" s="275"/>
      <c r="AP4" s="256" t="s">
        <v>18</v>
      </c>
      <c r="AQ4" s="257"/>
      <c r="AR4" s="257"/>
      <c r="AS4" s="257"/>
      <c r="AT4" s="257"/>
      <c r="AU4" s="275"/>
      <c r="AV4" s="256" t="s">
        <v>19</v>
      </c>
      <c r="AW4" s="257"/>
      <c r="AX4" s="257"/>
      <c r="AY4" s="257"/>
      <c r="AZ4" s="257"/>
      <c r="BA4" s="275"/>
      <c r="BB4" s="256" t="s">
        <v>20</v>
      </c>
      <c r="BC4" s="257"/>
      <c r="BD4" s="257"/>
      <c r="BE4" s="257"/>
      <c r="BF4" s="257"/>
      <c r="BG4" s="275"/>
      <c r="BH4" s="256" t="s">
        <v>21</v>
      </c>
      <c r="BI4" s="257"/>
      <c r="BJ4" s="257"/>
      <c r="BK4" s="257"/>
      <c r="BL4" s="257"/>
      <c r="BM4" s="275"/>
      <c r="BN4" s="256" t="s">
        <v>22</v>
      </c>
      <c r="BO4" s="257"/>
      <c r="BP4" s="257"/>
      <c r="BQ4" s="257"/>
      <c r="BR4" s="257"/>
      <c r="BS4" s="258"/>
      <c r="BT4" s="256" t="s">
        <v>85</v>
      </c>
      <c r="BU4" s="257"/>
      <c r="BV4" s="257"/>
      <c r="BW4" s="257"/>
      <c r="BX4" s="257"/>
      <c r="BY4" s="258"/>
      <c r="BZ4" s="256" t="s">
        <v>88</v>
      </c>
      <c r="CA4" s="257"/>
      <c r="CB4" s="257"/>
      <c r="CC4" s="257"/>
      <c r="CD4" s="257"/>
      <c r="CE4" s="258"/>
      <c r="CF4" s="256" t="s">
        <v>89</v>
      </c>
      <c r="CG4" s="257"/>
      <c r="CH4" s="257"/>
      <c r="CI4" s="257"/>
      <c r="CJ4" s="257"/>
      <c r="CK4" s="258"/>
      <c r="CL4" s="256" t="s">
        <v>94</v>
      </c>
      <c r="CM4" s="257"/>
      <c r="CN4" s="257"/>
      <c r="CO4" s="257"/>
      <c r="CP4" s="257"/>
      <c r="CQ4" s="258"/>
      <c r="CR4" s="256" t="s">
        <v>97</v>
      </c>
      <c r="CS4" s="257"/>
      <c r="CT4" s="257"/>
      <c r="CU4" s="257"/>
      <c r="CV4" s="257"/>
      <c r="CW4" s="258"/>
      <c r="CX4" s="256" t="s">
        <v>100</v>
      </c>
      <c r="CY4" s="257"/>
      <c r="CZ4" s="257"/>
      <c r="DA4" s="257"/>
      <c r="DB4" s="257"/>
      <c r="DC4" s="258"/>
      <c r="DD4" s="256" t="s">
        <v>103</v>
      </c>
      <c r="DE4" s="257"/>
      <c r="DF4" s="257"/>
      <c r="DG4" s="257"/>
      <c r="DH4" s="257"/>
      <c r="DI4" s="258"/>
      <c r="DJ4" s="256" t="s">
        <v>106</v>
      </c>
      <c r="DK4" s="257"/>
      <c r="DL4" s="257"/>
      <c r="DM4" s="257"/>
      <c r="DN4" s="257"/>
      <c r="DO4" s="258"/>
      <c r="DP4" s="256" t="s">
        <v>109</v>
      </c>
      <c r="DQ4" s="257"/>
      <c r="DR4" s="257"/>
      <c r="DS4" s="257"/>
      <c r="DT4" s="257"/>
      <c r="DU4" s="258"/>
      <c r="DV4" s="256" t="s">
        <v>112</v>
      </c>
      <c r="DW4" s="257"/>
      <c r="DX4" s="257"/>
      <c r="DY4" s="257"/>
      <c r="DZ4" s="257"/>
      <c r="EA4" s="258"/>
      <c r="EB4" s="256" t="s">
        <v>134</v>
      </c>
      <c r="EC4" s="257"/>
      <c r="ED4" s="257"/>
      <c r="EE4" s="257"/>
      <c r="EF4" s="257"/>
      <c r="EG4" s="258"/>
      <c r="EH4" s="256" t="s">
        <v>138</v>
      </c>
      <c r="EI4" s="257"/>
      <c r="EJ4" s="257"/>
      <c r="EK4" s="257"/>
      <c r="EL4" s="257"/>
      <c r="EM4" s="258"/>
      <c r="EN4" s="256" t="s">
        <v>142</v>
      </c>
      <c r="EO4" s="257"/>
      <c r="EP4" s="257"/>
      <c r="EQ4" s="257"/>
      <c r="ER4" s="257"/>
      <c r="ES4" s="258"/>
      <c r="ET4" s="256" t="s">
        <v>146</v>
      </c>
      <c r="EU4" s="257"/>
      <c r="EV4" s="257"/>
      <c r="EW4" s="257"/>
      <c r="EX4" s="257"/>
      <c r="EY4" s="258"/>
      <c r="EZ4" s="256" t="s">
        <v>150</v>
      </c>
      <c r="FA4" s="257"/>
      <c r="FB4" s="257"/>
      <c r="FC4" s="257"/>
      <c r="FD4" s="257"/>
      <c r="FE4" s="258"/>
      <c r="FF4" s="256" t="s">
        <v>154</v>
      </c>
      <c r="FG4" s="257"/>
      <c r="FH4" s="257"/>
      <c r="FI4" s="257"/>
      <c r="FJ4" s="257"/>
      <c r="FK4" s="258"/>
      <c r="FL4" s="256" t="s">
        <v>158</v>
      </c>
      <c r="FM4" s="257"/>
      <c r="FN4" s="257"/>
      <c r="FO4" s="257"/>
      <c r="FP4" s="257"/>
      <c r="FQ4" s="258"/>
      <c r="FR4" s="256" t="s">
        <v>162</v>
      </c>
      <c r="FS4" s="257"/>
      <c r="FT4" s="257"/>
      <c r="FU4" s="257"/>
      <c r="FV4" s="257"/>
      <c r="FW4" s="258"/>
      <c r="FX4" s="256" t="s">
        <v>166</v>
      </c>
      <c r="FY4" s="257"/>
      <c r="FZ4" s="257"/>
      <c r="GA4" s="257"/>
      <c r="GB4" s="257"/>
      <c r="GC4" s="258"/>
      <c r="GD4" s="256" t="s">
        <v>169</v>
      </c>
      <c r="GE4" s="257"/>
      <c r="GF4" s="257"/>
      <c r="GG4" s="257"/>
      <c r="GH4" s="257"/>
      <c r="GI4" s="258"/>
      <c r="GJ4" s="297"/>
      <c r="GK4" s="260"/>
      <c r="GL4" s="300"/>
      <c r="GM4" s="302"/>
    </row>
    <row r="5" spans="1:196" ht="409.6" thickBot="1" x14ac:dyDescent="0.25">
      <c r="A5" s="263"/>
      <c r="B5" s="267"/>
      <c r="C5" s="271" t="s">
        <v>70</v>
      </c>
      <c r="D5" s="272"/>
      <c r="E5" s="271" t="s">
        <v>74</v>
      </c>
      <c r="F5" s="272"/>
      <c r="G5" s="277"/>
      <c r="H5" s="279"/>
      <c r="I5" s="279"/>
      <c r="J5" s="289"/>
      <c r="K5" s="295"/>
      <c r="L5" s="281"/>
      <c r="M5" s="66" t="s">
        <v>57</v>
      </c>
      <c r="N5" s="193" t="s">
        <v>124</v>
      </c>
      <c r="O5" s="193" t="s">
        <v>65</v>
      </c>
      <c r="P5" s="193" t="s">
        <v>78</v>
      </c>
      <c r="Q5" s="68" t="s">
        <v>23</v>
      </c>
      <c r="R5" s="66" t="s">
        <v>24</v>
      </c>
      <c r="S5" s="193" t="s">
        <v>125</v>
      </c>
      <c r="T5" s="193" t="s">
        <v>57</v>
      </c>
      <c r="U5" s="193" t="s">
        <v>65</v>
      </c>
      <c r="V5" s="193" t="s">
        <v>78</v>
      </c>
      <c r="W5" s="68" t="s">
        <v>25</v>
      </c>
      <c r="X5" s="66" t="s">
        <v>26</v>
      </c>
      <c r="Y5" s="193" t="s">
        <v>126</v>
      </c>
      <c r="Z5" s="193" t="s">
        <v>57</v>
      </c>
      <c r="AA5" s="193" t="s">
        <v>65</v>
      </c>
      <c r="AB5" s="193" t="s">
        <v>78</v>
      </c>
      <c r="AC5" s="68" t="s">
        <v>27</v>
      </c>
      <c r="AD5" s="66" t="s">
        <v>28</v>
      </c>
      <c r="AE5" s="193" t="s">
        <v>127</v>
      </c>
      <c r="AF5" s="193" t="s">
        <v>57</v>
      </c>
      <c r="AG5" s="193" t="s">
        <v>65</v>
      </c>
      <c r="AH5" s="193" t="s">
        <v>78</v>
      </c>
      <c r="AI5" s="68" t="s">
        <v>29</v>
      </c>
      <c r="AJ5" s="66" t="s">
        <v>30</v>
      </c>
      <c r="AK5" s="193" t="s">
        <v>128</v>
      </c>
      <c r="AL5" s="193" t="s">
        <v>57</v>
      </c>
      <c r="AM5" s="193" t="s">
        <v>65</v>
      </c>
      <c r="AN5" s="193" t="s">
        <v>78</v>
      </c>
      <c r="AO5" s="68" t="s">
        <v>31</v>
      </c>
      <c r="AP5" s="66" t="s">
        <v>32</v>
      </c>
      <c r="AQ5" s="193" t="s">
        <v>129</v>
      </c>
      <c r="AR5" s="193" t="s">
        <v>57</v>
      </c>
      <c r="AS5" s="193" t="s">
        <v>65</v>
      </c>
      <c r="AT5" s="193" t="s">
        <v>78</v>
      </c>
      <c r="AU5" s="68" t="s">
        <v>33</v>
      </c>
      <c r="AV5" s="66" t="s">
        <v>34</v>
      </c>
      <c r="AW5" s="193" t="s">
        <v>130</v>
      </c>
      <c r="AX5" s="193" t="s">
        <v>57</v>
      </c>
      <c r="AY5" s="193" t="s">
        <v>65</v>
      </c>
      <c r="AZ5" s="193" t="s">
        <v>78</v>
      </c>
      <c r="BA5" s="68" t="s">
        <v>35</v>
      </c>
      <c r="BB5" s="66" t="s">
        <v>36</v>
      </c>
      <c r="BC5" s="193" t="s">
        <v>131</v>
      </c>
      <c r="BD5" s="193" t="s">
        <v>57</v>
      </c>
      <c r="BE5" s="193" t="s">
        <v>65</v>
      </c>
      <c r="BF5" s="193" t="s">
        <v>78</v>
      </c>
      <c r="BG5" s="68" t="s">
        <v>37</v>
      </c>
      <c r="BH5" s="66" t="s">
        <v>38</v>
      </c>
      <c r="BI5" s="193" t="s">
        <v>132</v>
      </c>
      <c r="BJ5" s="193" t="s">
        <v>57</v>
      </c>
      <c r="BK5" s="193" t="s">
        <v>65</v>
      </c>
      <c r="BL5" s="193" t="s">
        <v>78</v>
      </c>
      <c r="BM5" s="68" t="s">
        <v>39</v>
      </c>
      <c r="BN5" s="66" t="s">
        <v>40</v>
      </c>
      <c r="BO5" s="193" t="s">
        <v>133</v>
      </c>
      <c r="BP5" s="193" t="s">
        <v>57</v>
      </c>
      <c r="BQ5" s="193" t="s">
        <v>65</v>
      </c>
      <c r="BR5" s="193" t="s">
        <v>78</v>
      </c>
      <c r="BS5" s="192" t="s">
        <v>41</v>
      </c>
      <c r="BT5" s="66" t="s">
        <v>86</v>
      </c>
      <c r="BU5" s="193" t="s">
        <v>115</v>
      </c>
      <c r="BV5" s="193" t="s">
        <v>57</v>
      </c>
      <c r="BW5" s="193" t="s">
        <v>65</v>
      </c>
      <c r="BX5" s="193" t="s">
        <v>78</v>
      </c>
      <c r="BY5" s="192" t="s">
        <v>87</v>
      </c>
      <c r="BZ5" s="66" t="s">
        <v>90</v>
      </c>
      <c r="CA5" s="193" t="s">
        <v>116</v>
      </c>
      <c r="CB5" s="193" t="s">
        <v>57</v>
      </c>
      <c r="CC5" s="193" t="s">
        <v>65</v>
      </c>
      <c r="CD5" s="193" t="s">
        <v>78</v>
      </c>
      <c r="CE5" s="192" t="s">
        <v>91</v>
      </c>
      <c r="CF5" s="66" t="s">
        <v>92</v>
      </c>
      <c r="CG5" s="193" t="s">
        <v>117</v>
      </c>
      <c r="CH5" s="193" t="s">
        <v>57</v>
      </c>
      <c r="CI5" s="193" t="s">
        <v>65</v>
      </c>
      <c r="CJ5" s="193" t="s">
        <v>78</v>
      </c>
      <c r="CK5" s="192" t="s">
        <v>93</v>
      </c>
      <c r="CL5" s="66" t="s">
        <v>95</v>
      </c>
      <c r="CM5" s="193" t="s">
        <v>118</v>
      </c>
      <c r="CN5" s="193" t="s">
        <v>57</v>
      </c>
      <c r="CO5" s="193" t="s">
        <v>65</v>
      </c>
      <c r="CP5" s="193" t="s">
        <v>78</v>
      </c>
      <c r="CQ5" s="192" t="s">
        <v>96</v>
      </c>
      <c r="CR5" s="66" t="s">
        <v>98</v>
      </c>
      <c r="CS5" s="193" t="s">
        <v>119</v>
      </c>
      <c r="CT5" s="193" t="s">
        <v>57</v>
      </c>
      <c r="CU5" s="193" t="s">
        <v>65</v>
      </c>
      <c r="CV5" s="193" t="s">
        <v>78</v>
      </c>
      <c r="CW5" s="192" t="s">
        <v>99</v>
      </c>
      <c r="CX5" s="66" t="s">
        <v>101</v>
      </c>
      <c r="CY5" s="193" t="s">
        <v>120</v>
      </c>
      <c r="CZ5" s="193" t="s">
        <v>57</v>
      </c>
      <c r="DA5" s="193" t="s">
        <v>65</v>
      </c>
      <c r="DB5" s="193" t="s">
        <v>78</v>
      </c>
      <c r="DC5" s="192" t="s">
        <v>102</v>
      </c>
      <c r="DD5" s="66" t="s">
        <v>104</v>
      </c>
      <c r="DE5" s="193" t="s">
        <v>121</v>
      </c>
      <c r="DF5" s="193" t="s">
        <v>57</v>
      </c>
      <c r="DG5" s="193" t="s">
        <v>65</v>
      </c>
      <c r="DH5" s="193" t="s">
        <v>78</v>
      </c>
      <c r="DI5" s="192" t="s">
        <v>105</v>
      </c>
      <c r="DJ5" s="66" t="s">
        <v>107</v>
      </c>
      <c r="DK5" s="193" t="s">
        <v>66</v>
      </c>
      <c r="DL5" s="193" t="s">
        <v>57</v>
      </c>
      <c r="DM5" s="193" t="s">
        <v>65</v>
      </c>
      <c r="DN5" s="193" t="s">
        <v>78</v>
      </c>
      <c r="DO5" s="192" t="s">
        <v>108</v>
      </c>
      <c r="DP5" s="66" t="s">
        <v>110</v>
      </c>
      <c r="DQ5" s="193" t="s">
        <v>122</v>
      </c>
      <c r="DR5" s="193" t="s">
        <v>57</v>
      </c>
      <c r="DS5" s="193" t="s">
        <v>65</v>
      </c>
      <c r="DT5" s="193" t="s">
        <v>78</v>
      </c>
      <c r="DU5" s="192" t="s">
        <v>111</v>
      </c>
      <c r="DV5" s="66" t="s">
        <v>114</v>
      </c>
      <c r="DW5" s="193" t="s">
        <v>123</v>
      </c>
      <c r="DX5" s="193" t="s">
        <v>57</v>
      </c>
      <c r="DY5" s="193" t="s">
        <v>65</v>
      </c>
      <c r="DZ5" s="193" t="s">
        <v>78</v>
      </c>
      <c r="EA5" s="192" t="s">
        <v>113</v>
      </c>
      <c r="EB5" s="66" t="s">
        <v>135</v>
      </c>
      <c r="EC5" s="193" t="s">
        <v>136</v>
      </c>
      <c r="ED5" s="193" t="s">
        <v>57</v>
      </c>
      <c r="EE5" s="193" t="s">
        <v>65</v>
      </c>
      <c r="EF5" s="193" t="s">
        <v>78</v>
      </c>
      <c r="EG5" s="192" t="s">
        <v>137</v>
      </c>
      <c r="EH5" s="66" t="s">
        <v>139</v>
      </c>
      <c r="EI5" s="193" t="s">
        <v>140</v>
      </c>
      <c r="EJ5" s="193" t="s">
        <v>57</v>
      </c>
      <c r="EK5" s="193" t="s">
        <v>65</v>
      </c>
      <c r="EL5" s="193" t="s">
        <v>78</v>
      </c>
      <c r="EM5" s="192" t="s">
        <v>141</v>
      </c>
      <c r="EN5" s="66" t="s">
        <v>143</v>
      </c>
      <c r="EO5" s="193" t="s">
        <v>144</v>
      </c>
      <c r="EP5" s="193" t="s">
        <v>57</v>
      </c>
      <c r="EQ5" s="193" t="s">
        <v>65</v>
      </c>
      <c r="ER5" s="193" t="s">
        <v>78</v>
      </c>
      <c r="ES5" s="192" t="s">
        <v>145</v>
      </c>
      <c r="ET5" s="66" t="s">
        <v>147</v>
      </c>
      <c r="EU5" s="193" t="s">
        <v>148</v>
      </c>
      <c r="EV5" s="193" t="s">
        <v>57</v>
      </c>
      <c r="EW5" s="193" t="s">
        <v>65</v>
      </c>
      <c r="EX5" s="193" t="s">
        <v>78</v>
      </c>
      <c r="EY5" s="192" t="s">
        <v>149</v>
      </c>
      <c r="EZ5" s="66" t="s">
        <v>151</v>
      </c>
      <c r="FA5" s="193" t="s">
        <v>152</v>
      </c>
      <c r="FB5" s="193" t="s">
        <v>57</v>
      </c>
      <c r="FC5" s="193" t="s">
        <v>65</v>
      </c>
      <c r="FD5" s="193" t="s">
        <v>78</v>
      </c>
      <c r="FE5" s="192" t="s">
        <v>153</v>
      </c>
      <c r="FF5" s="66" t="s">
        <v>155</v>
      </c>
      <c r="FG5" s="193" t="s">
        <v>156</v>
      </c>
      <c r="FH5" s="193" t="s">
        <v>57</v>
      </c>
      <c r="FI5" s="193" t="s">
        <v>65</v>
      </c>
      <c r="FJ5" s="193" t="s">
        <v>78</v>
      </c>
      <c r="FK5" s="192" t="s">
        <v>157</v>
      </c>
      <c r="FL5" s="66" t="s">
        <v>159</v>
      </c>
      <c r="FM5" s="193" t="s">
        <v>160</v>
      </c>
      <c r="FN5" s="193" t="s">
        <v>57</v>
      </c>
      <c r="FO5" s="193" t="s">
        <v>65</v>
      </c>
      <c r="FP5" s="193" t="s">
        <v>78</v>
      </c>
      <c r="FQ5" s="192" t="s">
        <v>161</v>
      </c>
      <c r="FR5" s="66" t="s">
        <v>163</v>
      </c>
      <c r="FS5" s="193" t="s">
        <v>164</v>
      </c>
      <c r="FT5" s="193" t="s">
        <v>57</v>
      </c>
      <c r="FU5" s="193" t="s">
        <v>65</v>
      </c>
      <c r="FV5" s="193" t="s">
        <v>78</v>
      </c>
      <c r="FW5" s="192" t="s">
        <v>165</v>
      </c>
      <c r="FX5" s="66" t="s">
        <v>167</v>
      </c>
      <c r="FY5" s="193" t="s">
        <v>171</v>
      </c>
      <c r="FZ5" s="193" t="s">
        <v>57</v>
      </c>
      <c r="GA5" s="193" t="s">
        <v>65</v>
      </c>
      <c r="GB5" s="193" t="s">
        <v>78</v>
      </c>
      <c r="GC5" s="192" t="s">
        <v>168</v>
      </c>
      <c r="GD5" s="66" t="s">
        <v>170</v>
      </c>
      <c r="GE5" s="193" t="s">
        <v>172</v>
      </c>
      <c r="GF5" s="193" t="s">
        <v>57</v>
      </c>
      <c r="GG5" s="193" t="s">
        <v>65</v>
      </c>
      <c r="GH5" s="193" t="s">
        <v>78</v>
      </c>
      <c r="GI5" s="192" t="s">
        <v>173</v>
      </c>
      <c r="GJ5" s="298"/>
      <c r="GK5" s="261"/>
      <c r="GL5" s="301"/>
      <c r="GM5" s="302"/>
    </row>
    <row r="6" spans="1:196" ht="19.5" thickBot="1" x14ac:dyDescent="0.25">
      <c r="A6" s="264"/>
      <c r="B6" s="104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72</v>
      </c>
      <c r="J6" s="111" t="s">
        <v>69</v>
      </c>
      <c r="K6" s="116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1" t="s">
        <v>52</v>
      </c>
      <c r="BT6" s="71" t="s">
        <v>46</v>
      </c>
      <c r="BU6" s="64" t="s">
        <v>55</v>
      </c>
      <c r="BV6" s="64" t="s">
        <v>47</v>
      </c>
      <c r="BW6" s="64" t="s">
        <v>84</v>
      </c>
      <c r="BX6" s="64" t="s">
        <v>53</v>
      </c>
      <c r="BY6" s="111" t="s">
        <v>52</v>
      </c>
      <c r="BZ6" s="71" t="s">
        <v>46</v>
      </c>
      <c r="CA6" s="64" t="s">
        <v>55</v>
      </c>
      <c r="CB6" s="64" t="s">
        <v>47</v>
      </c>
      <c r="CC6" s="64" t="s">
        <v>84</v>
      </c>
      <c r="CD6" s="64" t="s">
        <v>53</v>
      </c>
      <c r="CE6" s="111" t="s">
        <v>52</v>
      </c>
      <c r="CF6" s="71" t="s">
        <v>46</v>
      </c>
      <c r="CG6" s="64" t="s">
        <v>55</v>
      </c>
      <c r="CH6" s="64" t="s">
        <v>47</v>
      </c>
      <c r="CI6" s="64" t="s">
        <v>84</v>
      </c>
      <c r="CJ6" s="64" t="s">
        <v>53</v>
      </c>
      <c r="CK6" s="111" t="s">
        <v>52</v>
      </c>
      <c r="CL6" s="71" t="s">
        <v>46</v>
      </c>
      <c r="CM6" s="64" t="s">
        <v>55</v>
      </c>
      <c r="CN6" s="64" t="s">
        <v>47</v>
      </c>
      <c r="CO6" s="64" t="s">
        <v>84</v>
      </c>
      <c r="CP6" s="64" t="s">
        <v>53</v>
      </c>
      <c r="CQ6" s="111" t="s">
        <v>52</v>
      </c>
      <c r="CR6" s="71" t="s">
        <v>46</v>
      </c>
      <c r="CS6" s="64" t="s">
        <v>55</v>
      </c>
      <c r="CT6" s="64" t="s">
        <v>47</v>
      </c>
      <c r="CU6" s="64" t="s">
        <v>84</v>
      </c>
      <c r="CV6" s="64" t="s">
        <v>53</v>
      </c>
      <c r="CW6" s="111" t="s">
        <v>52</v>
      </c>
      <c r="CX6" s="71" t="s">
        <v>46</v>
      </c>
      <c r="CY6" s="64" t="s">
        <v>55</v>
      </c>
      <c r="CZ6" s="64" t="s">
        <v>47</v>
      </c>
      <c r="DA6" s="64" t="s">
        <v>84</v>
      </c>
      <c r="DB6" s="64" t="s">
        <v>53</v>
      </c>
      <c r="DC6" s="111" t="s">
        <v>52</v>
      </c>
      <c r="DD6" s="71" t="s">
        <v>46</v>
      </c>
      <c r="DE6" s="64" t="s">
        <v>55</v>
      </c>
      <c r="DF6" s="64" t="s">
        <v>47</v>
      </c>
      <c r="DG6" s="64" t="s">
        <v>84</v>
      </c>
      <c r="DH6" s="64" t="s">
        <v>53</v>
      </c>
      <c r="DI6" s="111" t="s">
        <v>52</v>
      </c>
      <c r="DJ6" s="71" t="s">
        <v>46</v>
      </c>
      <c r="DK6" s="64" t="s">
        <v>55</v>
      </c>
      <c r="DL6" s="64" t="s">
        <v>47</v>
      </c>
      <c r="DM6" s="64" t="s">
        <v>84</v>
      </c>
      <c r="DN6" s="64" t="s">
        <v>53</v>
      </c>
      <c r="DO6" s="111" t="s">
        <v>52</v>
      </c>
      <c r="DP6" s="71" t="s">
        <v>46</v>
      </c>
      <c r="DQ6" s="64" t="s">
        <v>55</v>
      </c>
      <c r="DR6" s="64" t="s">
        <v>47</v>
      </c>
      <c r="DS6" s="64" t="s">
        <v>84</v>
      </c>
      <c r="DT6" s="64" t="s">
        <v>53</v>
      </c>
      <c r="DU6" s="111" t="s">
        <v>52</v>
      </c>
      <c r="DV6" s="71" t="s">
        <v>46</v>
      </c>
      <c r="DW6" s="64" t="s">
        <v>55</v>
      </c>
      <c r="DX6" s="64" t="s">
        <v>47</v>
      </c>
      <c r="DY6" s="64" t="s">
        <v>84</v>
      </c>
      <c r="DZ6" s="64" t="s">
        <v>53</v>
      </c>
      <c r="EA6" s="111" t="s">
        <v>52</v>
      </c>
      <c r="EB6" s="71" t="s">
        <v>46</v>
      </c>
      <c r="EC6" s="64" t="s">
        <v>55</v>
      </c>
      <c r="ED6" s="64" t="s">
        <v>47</v>
      </c>
      <c r="EE6" s="64" t="s">
        <v>84</v>
      </c>
      <c r="EF6" s="64" t="s">
        <v>53</v>
      </c>
      <c r="EG6" s="111" t="s">
        <v>52</v>
      </c>
      <c r="EH6" s="71" t="s">
        <v>46</v>
      </c>
      <c r="EI6" s="64" t="s">
        <v>55</v>
      </c>
      <c r="EJ6" s="64" t="s">
        <v>47</v>
      </c>
      <c r="EK6" s="64" t="s">
        <v>84</v>
      </c>
      <c r="EL6" s="64" t="s">
        <v>53</v>
      </c>
      <c r="EM6" s="111" t="s">
        <v>52</v>
      </c>
      <c r="EN6" s="71" t="s">
        <v>46</v>
      </c>
      <c r="EO6" s="64" t="s">
        <v>55</v>
      </c>
      <c r="EP6" s="64" t="s">
        <v>47</v>
      </c>
      <c r="EQ6" s="64" t="s">
        <v>84</v>
      </c>
      <c r="ER6" s="64" t="s">
        <v>53</v>
      </c>
      <c r="ES6" s="111" t="s">
        <v>52</v>
      </c>
      <c r="ET6" s="71" t="s">
        <v>46</v>
      </c>
      <c r="EU6" s="64" t="s">
        <v>55</v>
      </c>
      <c r="EV6" s="64" t="s">
        <v>47</v>
      </c>
      <c r="EW6" s="64" t="s">
        <v>84</v>
      </c>
      <c r="EX6" s="64" t="s">
        <v>53</v>
      </c>
      <c r="EY6" s="111" t="s">
        <v>52</v>
      </c>
      <c r="EZ6" s="71" t="s">
        <v>46</v>
      </c>
      <c r="FA6" s="64" t="s">
        <v>55</v>
      </c>
      <c r="FB6" s="64" t="s">
        <v>47</v>
      </c>
      <c r="FC6" s="64" t="s">
        <v>84</v>
      </c>
      <c r="FD6" s="64" t="s">
        <v>53</v>
      </c>
      <c r="FE6" s="111" t="s">
        <v>52</v>
      </c>
      <c r="FF6" s="71" t="s">
        <v>46</v>
      </c>
      <c r="FG6" s="64" t="s">
        <v>55</v>
      </c>
      <c r="FH6" s="64" t="s">
        <v>47</v>
      </c>
      <c r="FI6" s="64" t="s">
        <v>84</v>
      </c>
      <c r="FJ6" s="64" t="s">
        <v>53</v>
      </c>
      <c r="FK6" s="111" t="s">
        <v>52</v>
      </c>
      <c r="FL6" s="71" t="s">
        <v>46</v>
      </c>
      <c r="FM6" s="64" t="s">
        <v>55</v>
      </c>
      <c r="FN6" s="64" t="s">
        <v>47</v>
      </c>
      <c r="FO6" s="64" t="s">
        <v>84</v>
      </c>
      <c r="FP6" s="64" t="s">
        <v>53</v>
      </c>
      <c r="FQ6" s="111" t="s">
        <v>52</v>
      </c>
      <c r="FR6" s="71" t="s">
        <v>46</v>
      </c>
      <c r="FS6" s="64" t="s">
        <v>55</v>
      </c>
      <c r="FT6" s="64" t="s">
        <v>47</v>
      </c>
      <c r="FU6" s="64" t="s">
        <v>84</v>
      </c>
      <c r="FV6" s="64" t="s">
        <v>53</v>
      </c>
      <c r="FW6" s="111" t="s">
        <v>52</v>
      </c>
      <c r="FX6" s="71" t="s">
        <v>46</v>
      </c>
      <c r="FY6" s="64" t="s">
        <v>55</v>
      </c>
      <c r="FZ6" s="64" t="s">
        <v>47</v>
      </c>
      <c r="GA6" s="64" t="s">
        <v>84</v>
      </c>
      <c r="GB6" s="64" t="s">
        <v>53</v>
      </c>
      <c r="GC6" s="111" t="s">
        <v>52</v>
      </c>
      <c r="GD6" s="71" t="s">
        <v>46</v>
      </c>
      <c r="GE6" s="64" t="s">
        <v>55</v>
      </c>
      <c r="GF6" s="64" t="s">
        <v>47</v>
      </c>
      <c r="GG6" s="64" t="s">
        <v>84</v>
      </c>
      <c r="GH6" s="64" t="s">
        <v>53</v>
      </c>
      <c r="GI6" s="111" t="s">
        <v>52</v>
      </c>
      <c r="GJ6" s="179" t="s">
        <v>52</v>
      </c>
      <c r="GK6" s="177" t="s">
        <v>60</v>
      </c>
      <c r="GL6" s="213" t="s">
        <v>75</v>
      </c>
      <c r="GM6" s="223" t="s">
        <v>192</v>
      </c>
    </row>
    <row r="7" spans="1:196" ht="15.75" thickBot="1" x14ac:dyDescent="0.25">
      <c r="A7" s="101">
        <v>1</v>
      </c>
      <c r="B7" s="105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0">
        <f>F7+1</f>
        <v>7</v>
      </c>
      <c r="H7" s="61">
        <f t="shared" si="0"/>
        <v>8</v>
      </c>
      <c r="I7" s="61">
        <f t="shared" si="0"/>
        <v>9</v>
      </c>
      <c r="J7" s="112">
        <f>I7+1</f>
        <v>10</v>
      </c>
      <c r="K7" s="117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2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2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2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2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2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2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2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2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2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2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2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2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2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2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2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2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2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2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2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2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2">
        <f t="shared" si="21"/>
        <v>191</v>
      </c>
      <c r="GJ7" s="62">
        <f>GI7+1</f>
        <v>192</v>
      </c>
      <c r="GK7" s="178">
        <f>GJ7+1</f>
        <v>193</v>
      </c>
      <c r="GL7" s="214">
        <f>GK7+1</f>
        <v>194</v>
      </c>
      <c r="GM7" s="223">
        <v>195</v>
      </c>
    </row>
    <row r="8" spans="1:196" ht="15.75" thickBot="1" x14ac:dyDescent="0.25">
      <c r="A8" s="102" t="s">
        <v>3</v>
      </c>
      <c r="B8" s="106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3" t="s">
        <v>68</v>
      </c>
      <c r="K8" s="118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3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3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3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3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3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3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3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3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3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3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84" t="s">
        <v>4</v>
      </c>
      <c r="EA8" s="113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84" t="s">
        <v>4</v>
      </c>
      <c r="EG8" s="113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84" t="s">
        <v>4</v>
      </c>
      <c r="EM8" s="113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84" t="s">
        <v>4</v>
      </c>
      <c r="EY8" s="113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84" t="s">
        <v>4</v>
      </c>
      <c r="FE8" s="113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84" t="s">
        <v>4</v>
      </c>
      <c r="FK8" s="113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84" t="s">
        <v>4</v>
      </c>
      <c r="FQ8" s="113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84" t="s">
        <v>4</v>
      </c>
      <c r="FW8" s="113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84" t="s">
        <v>4</v>
      </c>
      <c r="GC8" s="113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84" t="s">
        <v>4</v>
      </c>
      <c r="GI8" s="113" t="s">
        <v>4</v>
      </c>
      <c r="GJ8" s="181" t="s">
        <v>4</v>
      </c>
      <c r="GK8" s="180" t="s">
        <v>4</v>
      </c>
      <c r="GL8" s="215" t="s">
        <v>50</v>
      </c>
      <c r="GM8" s="223" t="s">
        <v>4</v>
      </c>
    </row>
    <row r="9" spans="1:196" ht="15.75" x14ac:dyDescent="0.25">
      <c r="A9" s="160" t="s">
        <v>174</v>
      </c>
      <c r="B9" s="163" t="s">
        <v>8</v>
      </c>
      <c r="C9" s="163" t="s">
        <v>8</v>
      </c>
      <c r="D9" s="163" t="s">
        <v>8</v>
      </c>
      <c r="E9" s="163" t="s">
        <v>8</v>
      </c>
      <c r="F9" s="163" t="s">
        <v>8</v>
      </c>
      <c r="G9" s="107">
        <f>'Исходные данные'!C11</f>
        <v>72</v>
      </c>
      <c r="H9" s="49">
        <f>'Исходные данные'!F11</f>
        <v>25684.963092390426</v>
      </c>
      <c r="I9" s="50">
        <f>'Расчет КРП'!G7</f>
        <v>22.720360727086533</v>
      </c>
      <c r="J9" s="114" t="s">
        <v>8</v>
      </c>
      <c r="K9" s="166">
        <f t="shared" ref="K9:K22" si="22">((H9/G9)/($H$23/$G$23))/I9</f>
        <v>1.1554711397739573E-2</v>
      </c>
      <c r="L9" s="167">
        <f t="shared" ref="L9:L22" si="23">$D$23*G9/$G$23</f>
        <v>13198.060010035122</v>
      </c>
      <c r="M9" s="171">
        <f t="shared" ref="M9:M22" si="24">(((H9+L9)/G9)/$J$23)/I9</f>
        <v>1.7492028647425797E-2</v>
      </c>
      <c r="N9" s="172" t="s">
        <v>8</v>
      </c>
      <c r="O9" s="173">
        <f t="shared" ref="O9:O22" si="25">$N$23-M9</f>
        <v>0.13547317243524024</v>
      </c>
      <c r="P9" s="185">
        <f t="shared" ref="P9:P22" si="26">IF(O9&gt;0,G9*I9*(($H$23+$L$23)/$G$23)*O9,0)</f>
        <v>341766.87795216264</v>
      </c>
      <c r="Q9" s="174">
        <f t="shared" ref="Q9:Q22" si="27">IF(($F$23-P$23)&gt;0,P9,$F$23*P9/P$23)</f>
        <v>341766.87795216264</v>
      </c>
      <c r="R9" s="168" t="s">
        <v>8</v>
      </c>
      <c r="S9" s="48" t="s">
        <v>8</v>
      </c>
      <c r="T9" s="52">
        <f t="shared" ref="T9:T22" si="28">(((H9+L9+Q9)/G9)/$J$23)/I9</f>
        <v>0.17124025969758769</v>
      </c>
      <c r="U9" s="51">
        <f t="shared" ref="U9:U22" si="29">S$23-T9</f>
        <v>8.3239365084120859E-2</v>
      </c>
      <c r="V9" s="53">
        <f t="shared" ref="V9:V22" si="30">IF(U9&gt;0,$G9*$I9*(($H$23+$L$23+$Q$23)/$G$23)*U9,0)</f>
        <v>269439.2544387427</v>
      </c>
      <c r="W9" s="79">
        <f t="shared" ref="W9:W22" si="31">IF((R$23-V$23)&gt;0,V9,R$23*V9/V$23)</f>
        <v>269439.2544387427</v>
      </c>
      <c r="X9" s="75" t="s">
        <v>8</v>
      </c>
      <c r="Y9" s="48" t="s">
        <v>8</v>
      </c>
      <c r="Z9" s="52">
        <f t="shared" ref="Z9:Z22" si="32">(((H9+L9+Q9+W9)/G9)/$J$23)/I9</f>
        <v>0.2924509779323417</v>
      </c>
      <c r="AA9" s="51">
        <f t="shared" ref="AA9:AA22" si="33">Y$23-Z9</f>
        <v>7.2570641626458265E-2</v>
      </c>
      <c r="AB9" s="53">
        <f t="shared" ref="AB9:AB22" si="34">IF(AA9&gt;0,$G9*$I9*(($H$23+$L$23+$Q$23+$W$23)/$G$23)*AA9,0)</f>
        <v>293978.8339862306</v>
      </c>
      <c r="AC9" s="79">
        <f t="shared" ref="AC9:AC22" si="35">IF((X$23-AB$23)&gt;0,AB9,X$23*AB9/AB$23)</f>
        <v>293978.8339862306</v>
      </c>
      <c r="AD9" s="75" t="s">
        <v>8</v>
      </c>
      <c r="AE9" s="48" t="s">
        <v>8</v>
      </c>
      <c r="AF9" s="52">
        <f t="shared" ref="AF9:AF22" si="36">(((H9+L9+Q9+W9+AC9)/G9)/$J$23)/I9</f>
        <v>0.42470114202781811</v>
      </c>
      <c r="AG9" s="51">
        <f t="shared" ref="AG9:AG22" si="37">AE$23-AF9</f>
        <v>5.1801571067900343E-2</v>
      </c>
      <c r="AH9" s="53">
        <f t="shared" ref="AH9:AH22" si="38">IF(AG9&gt;0,$G9*$I9*(($H$23+$L$23+$Q$23+$W$23+$AC$23)/$G$23)*AG9,0)</f>
        <v>251962.21861645905</v>
      </c>
      <c r="AI9" s="79">
        <f t="shared" ref="AI9:AI22" si="39">IF((AD$23-AH$23)&gt;0,AH9,AD$23*AH9/AH$23)</f>
        <v>121020.58167800654</v>
      </c>
      <c r="AJ9" s="75" t="s">
        <v>8</v>
      </c>
      <c r="AK9" s="48" t="s">
        <v>8</v>
      </c>
      <c r="AL9" s="52">
        <f t="shared" ref="AL9:AL22" si="40">(((H9+L9+Q9+W9+AC9+AI9)/G9)/$J$23)/I9</f>
        <v>0.47914380910294507</v>
      </c>
      <c r="AM9" s="51">
        <f t="shared" ref="AM9:AM22" si="41">AK$23-AL9</f>
        <v>4.6029724257522053E-2</v>
      </c>
      <c r="AN9" s="53">
        <f t="shared" ref="AN9:AN22" si="42">IF(AM9&gt;0,$G9*$I9*(($H$23+$L$23+$Q$23+$W$23+$AC$23+$AI$23)/$G$23)*AM9,0)</f>
        <v>240346.3419780595</v>
      </c>
      <c r="AO9" s="79">
        <f t="shared" ref="AO9:AO22" si="43">IF((AJ$23-AN$23)&gt;0,AN9,AJ$23*AN9/AN$23)</f>
        <v>0</v>
      </c>
      <c r="AP9" s="75" t="s">
        <v>8</v>
      </c>
      <c r="AQ9" s="48" t="s">
        <v>8</v>
      </c>
      <c r="AR9" s="52">
        <f t="shared" ref="AR9:AR22" si="44">(((H9+L9+Q9+W9+AC9+AI9+AO9)/G9)/$J$23)/I9</f>
        <v>0.47914380910294507</v>
      </c>
      <c r="AS9" s="51">
        <f t="shared" ref="AS9:AS22" si="45">AQ$23-AR9</f>
        <v>4.6029724257522053E-2</v>
      </c>
      <c r="AT9" s="53">
        <f t="shared" ref="AT9:AT22" si="46">IF(AS9&gt;0,$G9*$I9*(($H$23+$L$23+$Q$23+$W$23+$AC$23+$AI$23+$AO$23)/$G$23)*AS9,0)</f>
        <v>240346.3419780595</v>
      </c>
      <c r="AU9" s="79">
        <f t="shared" ref="AU9:AU22" si="47">IF((AP$23-AT$23)&gt;0,AT9,AP$23*AT9/AT$23)</f>
        <v>0</v>
      </c>
      <c r="AV9" s="75" t="s">
        <v>8</v>
      </c>
      <c r="AW9" s="48" t="s">
        <v>8</v>
      </c>
      <c r="AX9" s="52">
        <f t="shared" ref="AX9:AX22" si="48">(((H9+L9+Q9+W9+AC9+AI9+AO9+AU9)/G9)/$J$23)/I9</f>
        <v>0.47914380910294507</v>
      </c>
      <c r="AY9" s="51">
        <f t="shared" ref="AY9:AY22" si="49">AW$23-AX9</f>
        <v>4.6029724257522053E-2</v>
      </c>
      <c r="AZ9" s="53">
        <f t="shared" ref="AZ9:AZ22" si="50">IF(AY9&gt;0,$G9*$I9*(($H$23+$L$23+$Q$23+$W$23+$AC$23+$AI$23+$AO$23+$AU$23)/$G$23)*AY9,0)</f>
        <v>240346.3419780595</v>
      </c>
      <c r="BA9" s="79">
        <f t="shared" ref="BA9:BA22" si="51">IF((AV$23-AZ$23)&gt;0,AZ9,AV$23*AZ9/AZ$23)</f>
        <v>0</v>
      </c>
      <c r="BB9" s="75" t="s">
        <v>8</v>
      </c>
      <c r="BC9" s="48" t="s">
        <v>8</v>
      </c>
      <c r="BD9" s="52">
        <f t="shared" ref="BD9:BD22" si="52">(((H9+L9+Q9+W9+AC9+AI9+AO9+AU9+BA9)/G9)/$J$23)/I9</f>
        <v>0.47914380910294507</v>
      </c>
      <c r="BE9" s="51">
        <f t="shared" ref="BE9:BE22" si="53">BC$23-BD9</f>
        <v>4.6029724257522053E-2</v>
      </c>
      <c r="BF9" s="53">
        <f t="shared" ref="BF9:BF22" si="54">IF(BE9&gt;0,$G9*$I9*(($H$23+$L$23+$Q$23+$W$23+$AC$23+$AI$23+$AO$23+$AU$23+$BA$23)/$G$23)*BE9,0)</f>
        <v>240346.3419780595</v>
      </c>
      <c r="BG9" s="79">
        <f t="shared" ref="BG9:BG22" si="55">IF((BB$23-BF$23)&gt;0,BF9,BB$23*BF9/BF$23)</f>
        <v>0</v>
      </c>
      <c r="BH9" s="75" t="s">
        <v>8</v>
      </c>
      <c r="BI9" s="48" t="s">
        <v>8</v>
      </c>
      <c r="BJ9" s="52">
        <f t="shared" ref="BJ9:BJ22" si="56">(((H9+L9+Q9+W9+AC9+AI9+AO9+AU9+BA9+BG9)/G9)/$J$23)/I9</f>
        <v>0.47914380910294507</v>
      </c>
      <c r="BK9" s="51">
        <f t="shared" ref="BK9:BK22" si="57">BI$23-BJ9</f>
        <v>4.6029724257522053E-2</v>
      </c>
      <c r="BL9" s="53">
        <f t="shared" ref="BL9:BL22" si="58">IF(BK9&gt;0,$G9*$I9*(($H$23+$L$23+$Q$23+$W$23+$AC$23+$AI$23+$AO$23+$AU$23+$BA$23+$BG$23)/$G$23)*BK9,0)</f>
        <v>240346.3419780595</v>
      </c>
      <c r="BM9" s="79">
        <f t="shared" ref="BM9:BM22" si="59">IF((BH$23-BL$23)&gt;0,BL9,BH$23*BL9/BL$23)</f>
        <v>0</v>
      </c>
      <c r="BN9" s="75" t="s">
        <v>8</v>
      </c>
      <c r="BO9" s="48" t="s">
        <v>8</v>
      </c>
      <c r="BP9" s="52">
        <f t="shared" ref="BP9:BP22" si="60">(((H9+L9+Q9+W9+AC9+AI9+AO9+AU9+BA9+BG9+BM9)/G9)/$J$23)/I9</f>
        <v>0.47914380910294507</v>
      </c>
      <c r="BQ9" s="51">
        <f t="shared" ref="BQ9:BQ22" si="61">BO$23-BP9</f>
        <v>4.6029724257522053E-2</v>
      </c>
      <c r="BR9" s="53">
        <f t="shared" ref="BR9:BR22" si="62">IF(BQ9&gt;0,$G9*$I9*(($H$23+$L$23+$Q$23+$W$23+$AC$23+$AI$23+$AO$23+$AU$23+$BA$23+$BG$23+$BM$23)/$G$23)*BQ9,0)</f>
        <v>240346.3419780595</v>
      </c>
      <c r="BS9" s="127">
        <f t="shared" ref="BS9:BS22" si="63">IF((BN$23-BR$23)&gt;0,BR9,BN$23*BR9/BR$23)</f>
        <v>0</v>
      </c>
      <c r="BT9" s="75" t="s">
        <v>8</v>
      </c>
      <c r="BU9" s="48" t="s">
        <v>8</v>
      </c>
      <c r="BV9" s="52">
        <f t="shared" ref="BV9:BV22" si="64">(((H9+L9+Q9+W9+AC9+AI9+AO9+AU9+BA9+BG9+BM9+BS9)/G9)/$J$23)/I9</f>
        <v>0.47914380910294507</v>
      </c>
      <c r="BW9" s="51">
        <f t="shared" ref="BW9:BW22" si="65">BU$23-BV9</f>
        <v>4.6029724257522053E-2</v>
      </c>
      <c r="BX9" s="53">
        <f t="shared" ref="BX9:BX22" si="66">IF(BW9&gt;0,$G9*$I9*(($H$23+$L$23+$Q$23+$W$23+$AC$23+$AI$23+$AO$23+$AU$23+$BA$23+$BG$23+$BM$23+$BS$23)/$G$23)*BW9,0)</f>
        <v>240346.3419780595</v>
      </c>
      <c r="BY9" s="127">
        <f t="shared" ref="BY9:BY22" si="67">IF((BT$23-BX$23)&gt;0,BX9,BT$23*BX9/BX$23)</f>
        <v>0</v>
      </c>
      <c r="BZ9" s="75" t="s">
        <v>8</v>
      </c>
      <c r="CA9" s="48" t="s">
        <v>8</v>
      </c>
      <c r="CB9" s="52">
        <f t="shared" ref="CB9:CB22" si="68">(((H9+L9+Q9+W9+AC9+AI9+AO9+AU9+BA9+BG9+BM9+BS9+BY9)/G9)/$J$23)/I9</f>
        <v>0.47914380910294507</v>
      </c>
      <c r="CC9" s="51">
        <f t="shared" ref="CC9:CC22" si="69">CA$23-CB9</f>
        <v>4.6029724257522053E-2</v>
      </c>
      <c r="CD9" s="53">
        <f t="shared" ref="CD9:CD22" si="70">IF(CC9&gt;0,$G9*$I9*(($H$23+$L$23+$Q$23+$W$23+$AC$23+$AI$23+$AO$23+$AU$23+$BA$23+$BG$23+$BM$23+$BS$23+$BY$23)/$G$23)*CC9,0)</f>
        <v>240346.3419780595</v>
      </c>
      <c r="CE9" s="127">
        <f t="shared" ref="CE9:CE22" si="71">IF((BZ$23-CD$23)&gt;0,CD9,BZ$23*CD9/CD$23)</f>
        <v>0</v>
      </c>
      <c r="CF9" s="75" t="s">
        <v>8</v>
      </c>
      <c r="CG9" s="48" t="s">
        <v>8</v>
      </c>
      <c r="CH9" s="52">
        <f t="shared" ref="CH9:CH22" si="72">(((H9+L9+Q9+W9+AC9+AI9+AO9+AU9+BA9+BG9+BM9+BS9+BY9+CE9)/G9)/$J$23)/I9</f>
        <v>0.47914380910294507</v>
      </c>
      <c r="CI9" s="51">
        <f t="shared" ref="CI9:CI22" si="73">CG$23-CH9</f>
        <v>4.6029724257522053E-2</v>
      </c>
      <c r="CJ9" s="53">
        <f t="shared" ref="CJ9:CJ22" si="74">IF(CI9&gt;0,$G9*$I9*(($H$23+$L$23+$Q$23+$W$23+$AC$23+$AI$23+$AO$23+$AU$23+$BA$23+$BG$23+$BM$23+$BS$23+$BY$23+$CE$23)/$G$23)*CI9,0)</f>
        <v>240346.3419780595</v>
      </c>
      <c r="CK9" s="127">
        <f t="shared" ref="CK9:CK22" si="75">IF((CF$23-CJ$23)&gt;0,CJ9,CF$23*CJ9/CJ$23)</f>
        <v>0</v>
      </c>
      <c r="CL9" s="75" t="s">
        <v>8</v>
      </c>
      <c r="CM9" s="48" t="s">
        <v>8</v>
      </c>
      <c r="CN9" s="52">
        <f t="shared" ref="CN9:CN22" si="76">(((H9+L9+Q9+W9+AC9+AI9+AO9+AU9+BA9+BG9+BM9+BS9+BY9+CE9+CK9)/G9)/$J$23)/I9</f>
        <v>0.47914380910294507</v>
      </c>
      <c r="CO9" s="51">
        <f t="shared" ref="CO9:CO22" si="77">CM$23-CN9</f>
        <v>4.6029724257522053E-2</v>
      </c>
      <c r="CP9" s="53">
        <f t="shared" ref="CP9:CP22" si="78">IF(CO9&gt;0,$G9*$I9*(($H$23+$L$23+$Q$23+$W$23+$AC$23+$AI$23+$AO$23+$AU$23+$BA$23+$BG$23+$BM$23+$BS$23+$BY$23+$CE$23+$CK$23)/$G$23)*CO9,0)</f>
        <v>240346.3419780595</v>
      </c>
      <c r="CQ9" s="127">
        <f t="shared" ref="CQ9:CQ22" si="79">IF((CL$23-CP$23)&gt;0,CP9,CL$23*CP9/CP$23)</f>
        <v>0</v>
      </c>
      <c r="CR9" s="75" t="s">
        <v>8</v>
      </c>
      <c r="CS9" s="48" t="s">
        <v>8</v>
      </c>
      <c r="CT9" s="52">
        <f t="shared" ref="CT9:CT22" si="80">(((H9+L9+Q9+W9+AC9+AI9+AO9+AU9+BA9+BG9+BM9+BS9+BY9+CE9+CK9+CQ9)/G9)/$J$23)/I9</f>
        <v>0.47914380910294507</v>
      </c>
      <c r="CU9" s="51">
        <f t="shared" ref="CU9:CU22" si="81">CS$23-CT9</f>
        <v>4.6029724257522053E-2</v>
      </c>
      <c r="CV9" s="53">
        <f t="shared" ref="CV9:CV22" si="82">IF(CU9&gt;0,$G9*$I9*(($H$23+$L$23+$Q$23+$W$23+$AC$23+$AI$23+$AO$23+$AU$23+$BA$23+$BG$23+$BM$23+$BS$23+$BY$23+$CE$23+$CK$23+$CQ$23)/$G$23)*CU9,0)</f>
        <v>240346.3419780595</v>
      </c>
      <c r="CW9" s="127">
        <f t="shared" ref="CW9:CW22" si="83">IF((CR$23-CV$23)&gt;0,CV9,CR$23*CV9/CV$23)</f>
        <v>0</v>
      </c>
      <c r="CX9" s="75" t="s">
        <v>8</v>
      </c>
      <c r="CY9" s="48" t="s">
        <v>8</v>
      </c>
      <c r="CZ9" s="52">
        <f t="shared" ref="CZ9:CZ22" si="84">(((H9+L9+Q9+W9+AC9+AI9+AO9+AU9+BA9+BG9+BM9+BS9+BY9+CE9+CK9+CQ9+CW9)/G9)/$J$23)/I9</f>
        <v>0.47914380910294507</v>
      </c>
      <c r="DA9" s="51">
        <f t="shared" ref="DA9:DA22" si="85">CY$23-CZ9</f>
        <v>4.6029724257522053E-2</v>
      </c>
      <c r="DB9" s="53">
        <f t="shared" ref="DB9:DB22" si="86">IF(DA9&gt;0,$G9*$I9*(($H$23+$L$23+$Q$23+$W$23+$AC$23+$AI$23+$AO$23+$AU$23+$BA$23+$BG$23+$BM$23+$BS$23+$BY$23+$CE$23+$CK$23+$CQ$23+$CW$23)/$G$23)*DA9,0)</f>
        <v>240346.3419780595</v>
      </c>
      <c r="DC9" s="127">
        <f t="shared" ref="DC9:DC22" si="87">IF((CX$23-DB$23)&gt;0,DB9,CX$23*DB9/DB$23)</f>
        <v>0</v>
      </c>
      <c r="DD9" s="75" t="s">
        <v>8</v>
      </c>
      <c r="DE9" s="48" t="s">
        <v>8</v>
      </c>
      <c r="DF9" s="52">
        <f t="shared" ref="DF9:DF22" si="88">(((H9+L9+Q9+W9+AC9+AI9+AO9+AU9+BA9+BG9+BM9+BS9+BY9+CE9+CK9+CQ9+CW9+DC9)/G9)/$J$23)/I9</f>
        <v>0.47914380910294507</v>
      </c>
      <c r="DG9" s="51">
        <f t="shared" ref="DG9:DG22" si="89">DE$23-DF9</f>
        <v>4.6029724257522053E-2</v>
      </c>
      <c r="DH9" s="53">
        <f t="shared" ref="DH9:DH22" si="90">IF(DG9&gt;0,$G9*$I9*(($H$23+$L$23+$Q$23+$W$23+$AC$23+$AI$23+$AO$23+$AU$23+$BA$23+$BG$23+$BM$23+$BS$23+$BY$23+$CE$23+$CK$23+$CQ$23+$CW$23+$DC$23)/$G$23)*DG9,0)</f>
        <v>240346.3419780595</v>
      </c>
      <c r="DI9" s="127">
        <f t="shared" ref="DI9:DI22" si="91">IF((DD$23-DH$23)&gt;0,DH9,DD$23*DH9/DH$23)</f>
        <v>0</v>
      </c>
      <c r="DJ9" s="75" t="s">
        <v>8</v>
      </c>
      <c r="DK9" s="48" t="s">
        <v>8</v>
      </c>
      <c r="DL9" s="52">
        <f t="shared" ref="DL9:DL22" si="92">(((H9+L9+Q9+W9+AC9+AI9+AO9+AU9+BA9+BG9+BM9+BS9+BY9+CE9+CK9+CQ9+CW9+DC9+DI9)/G9)/$J$23)/I9</f>
        <v>0.47914380910294507</v>
      </c>
      <c r="DM9" s="51">
        <f t="shared" ref="DM9:DM22" si="93">DK$23-DL9</f>
        <v>4.6029724257522053E-2</v>
      </c>
      <c r="DN9" s="53">
        <f t="shared" ref="DN9:DN22" si="94">IF(DM9&gt;0,$G9*$I9*(($H$23+$L$23+$Q$23+$W$23+$AC$23+$AI$23+$AO$23+$AU$23+$BA$23+$BG$23+$BM$23+$BS$23+$BY$23+$CE$23+$CK$23+$CQ$23+$CW$23+$DC$23+$DI$23)/$G$23)*DM9,0)</f>
        <v>240346.3419780595</v>
      </c>
      <c r="DO9" s="127">
        <f t="shared" ref="DO9:DO22" si="95">IF((DJ$23-DN$23)&gt;0,DN9,DJ$23*DN9/DN$23)</f>
        <v>0</v>
      </c>
      <c r="DP9" s="75" t="s">
        <v>8</v>
      </c>
      <c r="DQ9" s="48" t="s">
        <v>8</v>
      </c>
      <c r="DR9" s="52">
        <f t="shared" ref="DR9:DR22" si="96">(((H9+L9+Q9+W9+AC9+AI9+AO9+AU9+BA9+BG9+BM9+BS9+BY9+CE9+CK9+CQ9+CW9+DC9+DI9+DO9)/G9)/$J$23)/I9</f>
        <v>0.47914380910294507</v>
      </c>
      <c r="DS9" s="51">
        <f t="shared" ref="DS9:DS22" si="97">DQ$23-DR9</f>
        <v>4.6029724257522053E-2</v>
      </c>
      <c r="DT9" s="53">
        <f t="shared" ref="DT9:DT22" si="98">IF(DS9&gt;0,$G9*$I9*(($H$23+$L$23+$Q$23+$W$23+$AC$23+$AI$23+$AO$23+$AU$23+$BA$23+$BG$23+$BM$23+$BS$23+$BY$23+$CE$23+$CK$23+$CQ$23+$CW$23+$DC$23+$DI$23+$DO$23)/$G$23)*DS9,0)</f>
        <v>240346.3419780595</v>
      </c>
      <c r="DU9" s="127">
        <f t="shared" ref="DU9:DU22" si="99">IF((DP$23-DT$23)&gt;0,DT9,DP$23*DT9/DT$23)</f>
        <v>0</v>
      </c>
      <c r="DV9" s="182" t="s">
        <v>8</v>
      </c>
      <c r="DW9" s="172" t="s">
        <v>8</v>
      </c>
      <c r="DX9" s="186">
        <f t="shared" ref="DX9:DX22" si="100">((($H9+$L9+$Q9+$W9+$AC9+$AI9+$AO9+$AU9+$BA9+$BG9+$BM9+$BS9+$BY9+$CE9+$CK9+$CQ9+$CW9+$DC9+$DI9+$DO9+$DU9)/$G9)/$J$23)/$I9</f>
        <v>0.47914380910294507</v>
      </c>
      <c r="DY9" s="173">
        <f t="shared" ref="DY9:DY22" si="101">DW$23-DX9</f>
        <v>4.6029724257522053E-2</v>
      </c>
      <c r="DZ9" s="34">
        <f t="shared" ref="DZ9:DZ22" si="102">IF(DY9&gt;0,$G9*$I9*(($H$23+$L$23+$Q$23+$W$23+$AC$23+$AI$23+$AO$23+$AU$23+$BA$23+$BG$23+$BM$23+$BS$23+$BY$23+$CE$23+$CK$23+$CQ$23+$CW$23+$DC$23+$DI$23+$DO$23+$DU$23)/$G$23)*DY9,0)</f>
        <v>240346.3419780595</v>
      </c>
      <c r="EA9" s="174">
        <f t="shared" ref="EA9:EA22" si="103">IF((DV$23-DZ$23)&gt;0,DZ9,DV$23*DZ9/DZ$23)</f>
        <v>0</v>
      </c>
      <c r="EB9" s="182" t="s">
        <v>8</v>
      </c>
      <c r="EC9" s="172" t="s">
        <v>8</v>
      </c>
      <c r="ED9" s="186">
        <f t="shared" ref="ED9:ED22" si="104">((($H9+$L9+$Q9+$W9+$AC9+$AI9+$AO9+$AU9+$BA9+$BG9+$BM9+$BS9+$BY9+$CE9+$CK9+$CQ9+$CW9+$DC9+$DI9+$DO9+$DU9+$EA9)/$G9)/$J$23)/$I9</f>
        <v>0.47914380910294507</v>
      </c>
      <c r="EE9" s="173">
        <f t="shared" ref="EE9:EE22" si="105">EC$23-ED9</f>
        <v>4.6029724257522053E-2</v>
      </c>
      <c r="EF9" s="34">
        <f t="shared" ref="EF9:EF22" si="106">IF(EE9&gt;0,$G9*$I9*(($H$23+$L$23+$Q$23+$W$23+$AC$23+$AI$23+$AO$23+$AU$23+$BA$23+$BG$23+$BM$23+$BS$23+$BY$23+$CE$23+$CK$23+$CQ$23+$CW$23+$DC$23+$DI$23+$DO$23+$DU$23+$EA$23)/$G$23)*EE9,0)</f>
        <v>240346.3419780595</v>
      </c>
      <c r="EG9" s="174">
        <f t="shared" ref="EG9:EG22" si="107">IF((EB$23-EF$23)&gt;0,EF9,EB$23*EF9/EF$23)</f>
        <v>0</v>
      </c>
      <c r="EH9" s="182" t="s">
        <v>8</v>
      </c>
      <c r="EI9" s="172" t="s">
        <v>8</v>
      </c>
      <c r="EJ9" s="186">
        <f t="shared" ref="EJ9:EJ22" si="108">((($H9+$L9+$Q9+$W9+$AC9+$AI9+$AO9+$AU9+$BA9+$BG9+$BM9+$BS9+$BY9+$CE9+$CK9+$CQ9+$CW9+$DC9+$DI9+$DO9+$DU9+$EA9+$EG9)/$G9)/$J$23)/$I9</f>
        <v>0.47914380910294507</v>
      </c>
      <c r="EK9" s="173">
        <f t="shared" ref="EK9:EK22" si="109">EI$23-EJ9</f>
        <v>4.6029724257522053E-2</v>
      </c>
      <c r="EL9" s="34">
        <f t="shared" ref="EL9:EL22" si="110">IF(EK9&gt;0,$G9*$I9*(($H$23+$L$23+$Q$23+$W$23+$AC$23+$AI$23+$AO$23+$AU$23+$BA$23+$BG$23+$BM$23+$BS$23+$BY$23+$CE$23+$CK$23+$CQ$23+$CW$23+$DC$23+$DI$23+$DO$23+$DU$23+$EA$23+$EG$23)/$G$23)*EK9,0)</f>
        <v>240346.3419780595</v>
      </c>
      <c r="EM9" s="174">
        <f t="shared" ref="EM9:EM22" si="111">IF((EH$23-EL$23)&gt;0,EL9,EH$23*EL9/EL$23)</f>
        <v>0</v>
      </c>
      <c r="EN9" s="75" t="s">
        <v>8</v>
      </c>
      <c r="EO9" s="48" t="s">
        <v>8</v>
      </c>
      <c r="EP9" s="187">
        <f t="shared" ref="EP9:EP22" si="112">((($H9+$L9+$Q9+$W9+$AC9+$AI9+$AO9+$AU9+$BA9+$BG9+$BM9+$BS9+$BY9+$CE9+$CK9+$CQ9+$CW9+$DC9+$DI9+$DO9+$DU9+$EA9+$EG9+$EM9)/$G9)/$J$23)/$I9</f>
        <v>0.47914380910294507</v>
      </c>
      <c r="EQ9" s="51">
        <f t="shared" ref="EQ9:EQ22" si="113">EO$23-EP9</f>
        <v>4.6029724257522053E-2</v>
      </c>
      <c r="ER9" s="53">
        <f t="shared" ref="ER9:ER22" si="114">IF(EQ9&gt;0,$G9*$I9*(($H$23+$L$23+$Q$23+$W$23+$AC$23+$AI$23+$AO$23+$AU$23+$BA$23+$BG$23+$BM$23+$BS$23+$BY$23+$CE$23+$CK$23+$CQ$23+$CW$23+$DC$23+$DI$23+$DO$23+$DU$23+$EA$23+$EG$23+$EM$23)/$G$23)*EQ9,0)</f>
        <v>240346.3419780595</v>
      </c>
      <c r="ES9" s="79">
        <f t="shared" ref="ES9:ES22" si="115">IF((EN$23-ER$23)&gt;0,ER9,EN$23*ER9/ER$23)</f>
        <v>0</v>
      </c>
      <c r="ET9" s="182" t="s">
        <v>8</v>
      </c>
      <c r="EU9" s="172" t="s">
        <v>8</v>
      </c>
      <c r="EV9" s="186">
        <f t="shared" ref="EV9:EV22" si="116">((($H9+$L9+$Q9+$W9+$AC9+$AI9+$AO9+$AU9+$BA9+$BG9+$BM9+$BS9+$BY9+$CE9+$CK9+$CQ9+$CW9+$DC9+$DI9+$DO9+$DU9+$EA9+$EG9+$EM9+$ES9)/$G9)/$J$23)/$I9</f>
        <v>0.47914380910294507</v>
      </c>
      <c r="EW9" s="173">
        <f t="shared" ref="EW9:EW22" si="117">EU$23-EV9</f>
        <v>4.6029724257522053E-2</v>
      </c>
      <c r="EX9" s="34">
        <f t="shared" ref="EX9:EX22" si="118">IF(EW9&gt;0,$G9*$I9*(($H$23+$L$23+$Q$23+$W$23+$AC$23+$AI$23+$AO$23+$AU$23+$BA$23+$BG$23+$BM$23+$BS$23+$BY$23+$CE$23+$CK$23+$CQ$23+$CW$23+$DC$23+$DI$23+$DO$23+$DU$23+$EA$23+$EG$23+$EM$23+$ES$23)/$G$23)*EW9,0)</f>
        <v>240346.3419780595</v>
      </c>
      <c r="EY9" s="174">
        <f t="shared" ref="EY9:EY22" si="119">IF((ET$23-EX$23)&gt;0,EX9,ET$23*EX9/EX$23)</f>
        <v>0</v>
      </c>
      <c r="EZ9" s="182" t="s">
        <v>8</v>
      </c>
      <c r="FA9" s="172" t="s">
        <v>8</v>
      </c>
      <c r="FB9" s="186">
        <f t="shared" ref="FB9:FB22" si="120">((($H9+$L9+$Q9+$W9+$AC9+$AI9+$AO9+$AU9+$BA9+$BG9+$BM9+$BS9+$BY9+$CE9+$CK9+$CQ9+$CW9+$DC9+$DI9+$DO9+$DU9+$EA9+$EG9+$EM9+$ES9+$EY9)/$G9)/$J$23)/$I9</f>
        <v>0.47914380910294507</v>
      </c>
      <c r="FC9" s="173">
        <f t="shared" ref="FC9:FC22" si="121">FA$23-FB9</f>
        <v>4.6029724257522053E-2</v>
      </c>
      <c r="FD9" s="34">
        <f t="shared" ref="FD9:FD22" si="122">IF(FC9&gt;0,$G9*$I9*(($H$23+$L$23+$Q$23+$W$23+$AC$23+$AI$23+$AO$23+$AU$23+$BA$23+$BG$23+$BM$23+$BS$23+$BY$23+$CE$23+$CK$23+$CQ$23+$CW$23+$DC$23+$DI$23+$DO$23+$DU$23+$EA$23+$EG$23+$EM$23+$ES$23+$EY$23)/$G$23)*FC9,0)</f>
        <v>240346.3419780595</v>
      </c>
      <c r="FE9" s="174">
        <f t="shared" ref="FE9:FE22" si="123">IF((EZ$23-FD$23)&gt;0,FD9,EZ$23*FD9/FD$23)</f>
        <v>0</v>
      </c>
      <c r="FF9" s="182" t="s">
        <v>8</v>
      </c>
      <c r="FG9" s="172" t="s">
        <v>8</v>
      </c>
      <c r="FH9" s="186">
        <f t="shared" ref="FH9:FH22" si="124">((($H9+$L9+$Q9+$W9+$AC9+$AI9+$AO9+$AU9+$BA9+$BG9+$BM9+$BS9+$BY9+$CE9+$CK9+$CQ9+$CW9+$DC9+$DI9+$DO9+$DU9+$EA9+$EG9+$EM9+$ES9+$EY9+$FE9)/$G9)/$J$23)/$I9</f>
        <v>0.47914380910294507</v>
      </c>
      <c r="FI9" s="173">
        <f t="shared" ref="FI9:FI22" si="125">FG$23-FH9</f>
        <v>4.6029724257522053E-2</v>
      </c>
      <c r="FJ9" s="34">
        <f t="shared" ref="FJ9:FJ22" si="126">IF(FI9&gt;0,$G9*$I9*(($H$23+$L$23+$Q$23+$W$23+$AC$23+$AI$23+$AO$23+$AU$23+$BA$23+$BG$23+$BM$23+$BS$23+$BY$23+$CE$23+$CK$23+$CQ$23+$CW$23+$DC$23+$DI$23+$DO$23+$DU$23+$EA$23+$EG$23+$EM$23+$ES$23+$EY$23+$FE$23)/$G$23)*FI9,0)</f>
        <v>240346.3419780595</v>
      </c>
      <c r="FK9" s="174">
        <f t="shared" ref="FK9:FK22" si="127">IF((FF$23-FJ$23)&gt;0,FJ9,FF$23*FJ9/FJ$23)</f>
        <v>0</v>
      </c>
      <c r="FL9" s="182" t="s">
        <v>8</v>
      </c>
      <c r="FM9" s="172" t="s">
        <v>8</v>
      </c>
      <c r="FN9" s="186">
        <f t="shared" ref="FN9:FN22" si="128">((($H9+$L9+$Q9+$W9+$AC9+$AI9+$AO9+$AU9+$BA9+$BG9+$BM9+$BS9+$BY9+$CE9+$CK9+$CQ9+$CW9+$DC9+$DI9+$DO9+$DU9+$EA9+$EG9+$EM9+$ES9+$EY9+$FE9+$FK9)/$G9)/$J$23)/$I9</f>
        <v>0.47914380910294507</v>
      </c>
      <c r="FO9" s="173">
        <f t="shared" ref="FO9:FO22" si="129">FM$23-FN9</f>
        <v>4.6029724257522053E-2</v>
      </c>
      <c r="FP9" s="34">
        <f t="shared" ref="FP9:FP22" si="130">IF(FO9&gt;0,$G9*$I9*(($H$23+$L$23+$Q$23+$W$23+$AC$23+$AI$23+$AO$23+$AU$23+$BA$23+$BG$23+$BM$23+$BS$23+$BY$23+$CE$23+$CK$23+$CQ$23+$CW$23+$DC$23+$DI$23+$DO$23+$DU$23+$EA$23+$EG$23+$EM$23+$ES$23+$EY$23+$FE$23+$FK$23)/$G$23)*FO9,0)</f>
        <v>240346.3419780595</v>
      </c>
      <c r="FQ9" s="174">
        <f t="shared" ref="FQ9:FQ22" si="131">IF((FL$23-FP$23)&gt;0,FP9,FL$23*FP9/FP$23)</f>
        <v>0</v>
      </c>
      <c r="FR9" s="182" t="s">
        <v>8</v>
      </c>
      <c r="FS9" s="172" t="s">
        <v>8</v>
      </c>
      <c r="FT9" s="186">
        <f t="shared" ref="FT9:FT22" si="132">((($H9+$L9+$Q9+$W9+$AC9+$AI9+$AO9+$AU9+$BA9+$BG9+$BM9+$BS9+$BY9+$CE9+$CK9+$CQ9+$CW9+$DC9+$DI9+$DO9+$DU9+$EA9+$EG9+$EM9+$ES9+$EY9+$FE9+$FK9+$FQ9)/$G9)/$J$23)/$I9</f>
        <v>0.47914380910294507</v>
      </c>
      <c r="FU9" s="173">
        <f t="shared" ref="FU9:FU22" si="133">FS$23-FT9</f>
        <v>4.6029724257522053E-2</v>
      </c>
      <c r="FV9" s="34">
        <f t="shared" ref="FV9:FV22" si="134">IF(FU9&gt;0,$G9*$I9*(($H$23+$L$23+$Q$23+$W$23+$AC$23+$AI$23+$AO$23+$AU$23+$BA$23+$BG$23+$BM$23+$BS$23+$BY$23+$CE$23+$CK$23+$CQ$23+$CW$23+$DC$23+$DI$23+$DO$23+$DU$23+$EA$23+$EG$23+$EM$23+$ES$23+$EY$23+$FE$23+$FK$23+$FQ$23)/$G$23)*FU9,0)</f>
        <v>240346.3419780595</v>
      </c>
      <c r="FW9" s="174">
        <f t="shared" ref="FW9:FW22" si="135">IF((FR$23-FV$23)&gt;0,FV9,FR$23*FV9/FV$23)</f>
        <v>0</v>
      </c>
      <c r="FX9" s="182" t="s">
        <v>8</v>
      </c>
      <c r="FY9" s="172" t="s">
        <v>8</v>
      </c>
      <c r="FZ9" s="186">
        <f t="shared" ref="FZ9:FZ22" si="136">((($H9+$L9+$Q9+$W9+$AC9+$AI9+$AO9+$AU9+$BA9+$BG9+$BM9+$BS9+$BY9+$CE9+$CK9+$CQ9+$CW9+$DC9+$DI9+$DO9+$DU9+$EA9+$EG9+$EM9+$ES9+$EY9+$FE9+$FK9+$FQ9+$FW9)/$G9)/$J$23)/$I9</f>
        <v>0.47914380910294507</v>
      </c>
      <c r="GA9" s="173">
        <f t="shared" ref="GA9:GA22" si="137">FY$23-FZ9</f>
        <v>4.6029724257522053E-2</v>
      </c>
      <c r="GB9" s="34">
        <f t="shared" ref="GB9:GB22" si="138">IF(GA9&gt;0,$G9*$I9*(($H$23+$L$23+$Q$23+$W$23+$AC$23+$AI$23+$AO$23+$AU$23+$BA$23+$BG$23+$BM$23+$BS$23+$BY$23+$CE$23+$CK$23+$CQ$23+$CW$23+$DC$23+$DI$23+$DO$23+$DU$23+$EA$23+$EG$23+$EM$23+$ES$23+$EY$23+$FE$23+$FK$23+$FQ$23+$FW$23)/$G$23)*GA9,0)</f>
        <v>240346.3419780595</v>
      </c>
      <c r="GC9" s="174">
        <f t="shared" ref="GC9:GC22" si="139">IF((FX$23-GB$23)&gt;0,GB9,FX$23*GB9/GB$23)</f>
        <v>0</v>
      </c>
      <c r="GD9" s="182" t="s">
        <v>8</v>
      </c>
      <c r="GE9" s="172" t="s">
        <v>8</v>
      </c>
      <c r="GF9" s="186">
        <f t="shared" ref="GF9:GF22" si="140">((($H9+$L9+$Q9+$W9+$AC9+$AI9+$AO9+$AU9+$BA9+$BG9+$BM9+$BS9+$BY9+$CE9+$CK9+$CQ9+$CW9+$DC9+$DI9+$DO9+$DU9+$EA9+$EG9+$EM9+$ES9+$EY9+$FE9+$FK9+$FQ9+$FW9+$GC9)/$G9)/$J$23)/$I9</f>
        <v>0.47914380910294507</v>
      </c>
      <c r="GG9" s="173">
        <f t="shared" ref="GG9:GG22" si="141">GE$23-GF9</f>
        <v>4.6029724257522053E-2</v>
      </c>
      <c r="GH9" s="34">
        <f t="shared" ref="GH9:GH22" si="142">IF(GG9&gt;0,$G9*$I9*(($H$23+$L$23+$Q$23+$W$23+$AC$23+$AI$23+$AO$23+$AU$23+$BA$23+$BG$23+$BM$23+$BS$23+$BY$23+$CE$23+$CK$23+$CQ$23+$CW$23+$DC$23+$DI$23+$DO$23+$DU$23+$EA$23+$EG$23+$EM$23+$ES$23+$EY$23+$FE$23+$FK$23+$FQ$23+$FW$23+$GC$23)/$G$23)*GG9,0)</f>
        <v>240346.3419780595</v>
      </c>
      <c r="GI9" s="190">
        <f t="shared" ref="GI9:GI22" si="143">IF((GD$23-GH$23)&gt;0,GH9,GD$23*GH9/GH$23)</f>
        <v>0</v>
      </c>
      <c r="GJ9" s="188">
        <f>Q9+W9+AC9+AI9+AO9+AU9+BA9+BG9+BM9+BS9+BY9+CE9+CK9+CQ9+CW9+DC9+DI9+DO9+DU9+EA9+EG9+EM9+ES9+EY9+FE9+FK9+FQ9+FW9+GC9+GI9</f>
        <v>1026205.5480551426</v>
      </c>
      <c r="GK9" s="175">
        <f t="shared" ref="GK9:GK23" si="144">L9+GJ9</f>
        <v>1039403.6080651778</v>
      </c>
      <c r="GL9" s="216">
        <f t="shared" ref="GL9:GL22" si="145">K9+GK9/($H$23/$G$23)/G9/I9</f>
        <v>0.47914380910294507</v>
      </c>
      <c r="GM9" s="231">
        <f>ROUND(GK9,2)</f>
        <v>1039403.61</v>
      </c>
      <c r="GN9" s="234"/>
    </row>
    <row r="10" spans="1:196" ht="15.75" x14ac:dyDescent="0.25">
      <c r="A10" s="161" t="s">
        <v>175</v>
      </c>
      <c r="B10" s="164" t="s">
        <v>8</v>
      </c>
      <c r="C10" s="164" t="s">
        <v>8</v>
      </c>
      <c r="D10" s="164" t="s">
        <v>8</v>
      </c>
      <c r="E10" s="164" t="s">
        <v>8</v>
      </c>
      <c r="F10" s="164" t="s">
        <v>8</v>
      </c>
      <c r="G10" s="108">
        <f>'Исходные данные'!C12</f>
        <v>817</v>
      </c>
      <c r="H10" s="31">
        <f>'Исходные данные'!F12</f>
        <v>225958.53514673398</v>
      </c>
      <c r="I10" s="32">
        <f>'Расчет КРП'!G8</f>
        <v>5.6555578631499976</v>
      </c>
      <c r="J10" s="115" t="s">
        <v>8</v>
      </c>
      <c r="K10" s="119">
        <f t="shared" si="22"/>
        <v>3.5988116631074193E-2</v>
      </c>
      <c r="L10" s="77">
        <f t="shared" si="23"/>
        <v>149761.319836093</v>
      </c>
      <c r="M10" s="73">
        <f t="shared" si="24"/>
        <v>5.9840403695977394E-2</v>
      </c>
      <c r="N10" s="30" t="s">
        <v>8</v>
      </c>
      <c r="O10" s="33">
        <f t="shared" si="25"/>
        <v>9.3124797386688635E-2</v>
      </c>
      <c r="P10" s="34">
        <f t="shared" si="26"/>
        <v>663577.72456209164</v>
      </c>
      <c r="Q10" s="80">
        <f t="shared" si="27"/>
        <v>663577.72456209164</v>
      </c>
      <c r="R10" s="169" t="s">
        <v>8</v>
      </c>
      <c r="S10" s="30" t="s">
        <v>8</v>
      </c>
      <c r="T10" s="35">
        <f t="shared" si="28"/>
        <v>0.1655275490379999</v>
      </c>
      <c r="U10" s="33">
        <f t="shared" si="29"/>
        <v>8.8952075743708642E-2</v>
      </c>
      <c r="V10" s="53">
        <f t="shared" si="30"/>
        <v>813276.05195120699</v>
      </c>
      <c r="W10" s="80">
        <f t="shared" si="31"/>
        <v>813276.05195120699</v>
      </c>
      <c r="X10" s="76" t="s">
        <v>8</v>
      </c>
      <c r="Y10" s="30" t="s">
        <v>8</v>
      </c>
      <c r="Z10" s="35">
        <f t="shared" si="32"/>
        <v>0.29505694872132338</v>
      </c>
      <c r="AA10" s="33">
        <f t="shared" si="33"/>
        <v>6.9964670837476595E-2</v>
      </c>
      <c r="AB10" s="53">
        <f t="shared" si="34"/>
        <v>800541.19154096395</v>
      </c>
      <c r="AC10" s="80">
        <f t="shared" si="35"/>
        <v>800541.19154096395</v>
      </c>
      <c r="AD10" s="76" t="s">
        <v>8</v>
      </c>
      <c r="AE10" s="30" t="s">
        <v>8</v>
      </c>
      <c r="AF10" s="35">
        <f t="shared" si="36"/>
        <v>0.4225580840532841</v>
      </c>
      <c r="AG10" s="33">
        <f t="shared" si="37"/>
        <v>5.3944629042434356E-2</v>
      </c>
      <c r="AH10" s="53">
        <f t="shared" si="38"/>
        <v>741123.34099024022</v>
      </c>
      <c r="AI10" s="80">
        <f t="shared" si="39"/>
        <v>355970.74162263906</v>
      </c>
      <c r="AJ10" s="76" t="s">
        <v>8</v>
      </c>
      <c r="AK10" s="30" t="s">
        <v>8</v>
      </c>
      <c r="AL10" s="35">
        <f t="shared" si="40"/>
        <v>0.47925307262030775</v>
      </c>
      <c r="AM10" s="33">
        <f t="shared" si="41"/>
        <v>4.5920460740159375E-2</v>
      </c>
      <c r="AN10" s="53">
        <f t="shared" si="42"/>
        <v>677259.59749157529</v>
      </c>
      <c r="AO10" s="80">
        <f t="shared" si="43"/>
        <v>0</v>
      </c>
      <c r="AP10" s="76" t="s">
        <v>8</v>
      </c>
      <c r="AQ10" s="30" t="s">
        <v>8</v>
      </c>
      <c r="AR10" s="35">
        <f t="shared" si="44"/>
        <v>0.47925307262030775</v>
      </c>
      <c r="AS10" s="33">
        <f t="shared" si="45"/>
        <v>4.5920460740159375E-2</v>
      </c>
      <c r="AT10" s="53">
        <f t="shared" si="46"/>
        <v>677259.59749157529</v>
      </c>
      <c r="AU10" s="80">
        <f t="shared" si="47"/>
        <v>0</v>
      </c>
      <c r="AV10" s="76" t="s">
        <v>8</v>
      </c>
      <c r="AW10" s="30" t="s">
        <v>8</v>
      </c>
      <c r="AX10" s="35">
        <f t="shared" si="48"/>
        <v>0.47925307262030775</v>
      </c>
      <c r="AY10" s="33">
        <f t="shared" si="49"/>
        <v>4.5920460740159375E-2</v>
      </c>
      <c r="AZ10" s="53">
        <f t="shared" si="50"/>
        <v>677259.59749157529</v>
      </c>
      <c r="BA10" s="80">
        <f t="shared" si="51"/>
        <v>0</v>
      </c>
      <c r="BB10" s="76" t="s">
        <v>8</v>
      </c>
      <c r="BC10" s="30" t="s">
        <v>8</v>
      </c>
      <c r="BD10" s="35">
        <f t="shared" si="52"/>
        <v>0.47925307262030775</v>
      </c>
      <c r="BE10" s="33">
        <f t="shared" si="53"/>
        <v>4.5920460740159375E-2</v>
      </c>
      <c r="BF10" s="53">
        <f t="shared" si="54"/>
        <v>677259.59749157529</v>
      </c>
      <c r="BG10" s="80">
        <f t="shared" si="55"/>
        <v>0</v>
      </c>
      <c r="BH10" s="76" t="s">
        <v>8</v>
      </c>
      <c r="BI10" s="30" t="s">
        <v>8</v>
      </c>
      <c r="BJ10" s="35">
        <f t="shared" si="56"/>
        <v>0.47925307262030775</v>
      </c>
      <c r="BK10" s="33">
        <f t="shared" si="57"/>
        <v>4.5920460740159375E-2</v>
      </c>
      <c r="BL10" s="53">
        <f t="shared" si="58"/>
        <v>677259.59749157529</v>
      </c>
      <c r="BM10" s="80">
        <f t="shared" si="59"/>
        <v>0</v>
      </c>
      <c r="BN10" s="76" t="s">
        <v>8</v>
      </c>
      <c r="BO10" s="30" t="s">
        <v>8</v>
      </c>
      <c r="BP10" s="35">
        <f t="shared" si="60"/>
        <v>0.47925307262030775</v>
      </c>
      <c r="BQ10" s="33">
        <f t="shared" si="61"/>
        <v>4.5920460740159375E-2</v>
      </c>
      <c r="BR10" s="53">
        <f t="shared" si="62"/>
        <v>677259.59749157529</v>
      </c>
      <c r="BS10" s="128">
        <f t="shared" si="63"/>
        <v>0</v>
      </c>
      <c r="BT10" s="76" t="s">
        <v>8</v>
      </c>
      <c r="BU10" s="30" t="s">
        <v>8</v>
      </c>
      <c r="BV10" s="35">
        <f t="shared" si="64"/>
        <v>0.47925307262030775</v>
      </c>
      <c r="BW10" s="33">
        <f t="shared" si="65"/>
        <v>4.5920460740159375E-2</v>
      </c>
      <c r="BX10" s="53">
        <f t="shared" si="66"/>
        <v>677259.59749157529</v>
      </c>
      <c r="BY10" s="128">
        <f t="shared" si="67"/>
        <v>0</v>
      </c>
      <c r="BZ10" s="76" t="s">
        <v>8</v>
      </c>
      <c r="CA10" s="30" t="s">
        <v>8</v>
      </c>
      <c r="CB10" s="35">
        <f t="shared" si="68"/>
        <v>0.47925307262030775</v>
      </c>
      <c r="CC10" s="33">
        <f t="shared" si="69"/>
        <v>4.5920460740159375E-2</v>
      </c>
      <c r="CD10" s="53">
        <f t="shared" si="70"/>
        <v>677259.59749157529</v>
      </c>
      <c r="CE10" s="128">
        <f t="shared" si="71"/>
        <v>0</v>
      </c>
      <c r="CF10" s="76" t="s">
        <v>8</v>
      </c>
      <c r="CG10" s="30" t="s">
        <v>8</v>
      </c>
      <c r="CH10" s="35">
        <f t="shared" si="72"/>
        <v>0.47925307262030775</v>
      </c>
      <c r="CI10" s="33">
        <f t="shared" si="73"/>
        <v>4.5920460740159375E-2</v>
      </c>
      <c r="CJ10" s="53">
        <f t="shared" si="74"/>
        <v>677259.59749157529</v>
      </c>
      <c r="CK10" s="128">
        <f t="shared" si="75"/>
        <v>0</v>
      </c>
      <c r="CL10" s="76" t="s">
        <v>8</v>
      </c>
      <c r="CM10" s="30" t="s">
        <v>8</v>
      </c>
      <c r="CN10" s="35">
        <f t="shared" si="76"/>
        <v>0.47925307262030775</v>
      </c>
      <c r="CO10" s="33">
        <f t="shared" si="77"/>
        <v>4.5920460740159375E-2</v>
      </c>
      <c r="CP10" s="53">
        <f t="shared" si="78"/>
        <v>677259.59749157529</v>
      </c>
      <c r="CQ10" s="128">
        <f t="shared" si="79"/>
        <v>0</v>
      </c>
      <c r="CR10" s="76" t="s">
        <v>8</v>
      </c>
      <c r="CS10" s="30" t="s">
        <v>8</v>
      </c>
      <c r="CT10" s="35">
        <f t="shared" si="80"/>
        <v>0.47925307262030775</v>
      </c>
      <c r="CU10" s="33">
        <f t="shared" si="81"/>
        <v>4.5920460740159375E-2</v>
      </c>
      <c r="CV10" s="53">
        <f t="shared" si="82"/>
        <v>677259.59749157529</v>
      </c>
      <c r="CW10" s="128">
        <f t="shared" si="83"/>
        <v>0</v>
      </c>
      <c r="CX10" s="76" t="s">
        <v>8</v>
      </c>
      <c r="CY10" s="30" t="s">
        <v>8</v>
      </c>
      <c r="CZ10" s="35">
        <f t="shared" si="84"/>
        <v>0.47925307262030775</v>
      </c>
      <c r="DA10" s="33">
        <f t="shared" si="85"/>
        <v>4.5920460740159375E-2</v>
      </c>
      <c r="DB10" s="53">
        <f t="shared" si="86"/>
        <v>677259.59749157529</v>
      </c>
      <c r="DC10" s="128">
        <f t="shared" si="87"/>
        <v>0</v>
      </c>
      <c r="DD10" s="76" t="s">
        <v>8</v>
      </c>
      <c r="DE10" s="30" t="s">
        <v>8</v>
      </c>
      <c r="DF10" s="35">
        <f t="shared" si="88"/>
        <v>0.47925307262030775</v>
      </c>
      <c r="DG10" s="33">
        <f t="shared" si="89"/>
        <v>4.5920460740159375E-2</v>
      </c>
      <c r="DH10" s="53">
        <f t="shared" si="90"/>
        <v>677259.59749157529</v>
      </c>
      <c r="DI10" s="128">
        <f t="shared" si="91"/>
        <v>0</v>
      </c>
      <c r="DJ10" s="76" t="s">
        <v>8</v>
      </c>
      <c r="DK10" s="30" t="s">
        <v>8</v>
      </c>
      <c r="DL10" s="35">
        <f t="shared" si="92"/>
        <v>0.47925307262030775</v>
      </c>
      <c r="DM10" s="33">
        <f t="shared" si="93"/>
        <v>4.5920460740159375E-2</v>
      </c>
      <c r="DN10" s="53">
        <f t="shared" si="94"/>
        <v>677259.59749157529</v>
      </c>
      <c r="DO10" s="128">
        <f t="shared" si="95"/>
        <v>0</v>
      </c>
      <c r="DP10" s="76" t="s">
        <v>8</v>
      </c>
      <c r="DQ10" s="30" t="s">
        <v>8</v>
      </c>
      <c r="DR10" s="35">
        <f t="shared" si="96"/>
        <v>0.47925307262030775</v>
      </c>
      <c r="DS10" s="33">
        <f t="shared" si="97"/>
        <v>4.5920460740159375E-2</v>
      </c>
      <c r="DT10" s="53">
        <f t="shared" si="98"/>
        <v>677259.59749157529</v>
      </c>
      <c r="DU10" s="128">
        <f t="shared" si="99"/>
        <v>0</v>
      </c>
      <c r="DV10" s="76" t="s">
        <v>8</v>
      </c>
      <c r="DW10" s="30" t="s">
        <v>8</v>
      </c>
      <c r="DX10" s="35">
        <f t="shared" si="100"/>
        <v>0.47925307262030775</v>
      </c>
      <c r="DY10" s="33">
        <f t="shared" si="101"/>
        <v>4.5920460740159375E-2</v>
      </c>
      <c r="DZ10" s="34">
        <f t="shared" si="102"/>
        <v>677259.59749157529</v>
      </c>
      <c r="EA10" s="80">
        <f t="shared" si="103"/>
        <v>0</v>
      </c>
      <c r="EB10" s="76" t="s">
        <v>8</v>
      </c>
      <c r="EC10" s="30" t="s">
        <v>8</v>
      </c>
      <c r="ED10" s="35">
        <f t="shared" si="104"/>
        <v>0.47925307262030775</v>
      </c>
      <c r="EE10" s="33">
        <f t="shared" si="105"/>
        <v>4.5920460740159375E-2</v>
      </c>
      <c r="EF10" s="34">
        <f t="shared" si="106"/>
        <v>677259.59749157529</v>
      </c>
      <c r="EG10" s="80">
        <f t="shared" si="107"/>
        <v>0</v>
      </c>
      <c r="EH10" s="76" t="s">
        <v>8</v>
      </c>
      <c r="EI10" s="30" t="s">
        <v>8</v>
      </c>
      <c r="EJ10" s="35">
        <f t="shared" si="108"/>
        <v>0.47925307262030775</v>
      </c>
      <c r="EK10" s="33">
        <f t="shared" si="109"/>
        <v>4.5920460740159375E-2</v>
      </c>
      <c r="EL10" s="34">
        <f t="shared" si="110"/>
        <v>677259.59749157529</v>
      </c>
      <c r="EM10" s="80">
        <f t="shared" si="111"/>
        <v>0</v>
      </c>
      <c r="EN10" s="76" t="s">
        <v>8</v>
      </c>
      <c r="EO10" s="30" t="s">
        <v>8</v>
      </c>
      <c r="EP10" s="35">
        <f t="shared" si="112"/>
        <v>0.47925307262030775</v>
      </c>
      <c r="EQ10" s="33">
        <f t="shared" si="113"/>
        <v>4.5920460740159375E-2</v>
      </c>
      <c r="ER10" s="34">
        <f t="shared" si="114"/>
        <v>677259.59749157529</v>
      </c>
      <c r="ES10" s="80">
        <f t="shared" si="115"/>
        <v>0</v>
      </c>
      <c r="ET10" s="76" t="s">
        <v>8</v>
      </c>
      <c r="EU10" s="30" t="s">
        <v>8</v>
      </c>
      <c r="EV10" s="35">
        <f t="shared" si="116"/>
        <v>0.47925307262030775</v>
      </c>
      <c r="EW10" s="33">
        <f t="shared" si="117"/>
        <v>4.5920460740159375E-2</v>
      </c>
      <c r="EX10" s="34">
        <f t="shared" si="118"/>
        <v>677259.59749157529</v>
      </c>
      <c r="EY10" s="80">
        <f t="shared" si="119"/>
        <v>0</v>
      </c>
      <c r="EZ10" s="76" t="s">
        <v>8</v>
      </c>
      <c r="FA10" s="30" t="s">
        <v>8</v>
      </c>
      <c r="FB10" s="35">
        <f t="shared" si="120"/>
        <v>0.47925307262030775</v>
      </c>
      <c r="FC10" s="33">
        <f t="shared" si="121"/>
        <v>4.5920460740159375E-2</v>
      </c>
      <c r="FD10" s="34">
        <f t="shared" si="122"/>
        <v>677259.59749157529</v>
      </c>
      <c r="FE10" s="80">
        <f t="shared" si="123"/>
        <v>0</v>
      </c>
      <c r="FF10" s="76" t="s">
        <v>8</v>
      </c>
      <c r="FG10" s="30" t="s">
        <v>8</v>
      </c>
      <c r="FH10" s="35">
        <f t="shared" si="124"/>
        <v>0.47925307262030775</v>
      </c>
      <c r="FI10" s="33">
        <f t="shared" si="125"/>
        <v>4.5920460740159375E-2</v>
      </c>
      <c r="FJ10" s="34">
        <f t="shared" si="126"/>
        <v>677259.59749157529</v>
      </c>
      <c r="FK10" s="80">
        <f t="shared" si="127"/>
        <v>0</v>
      </c>
      <c r="FL10" s="76" t="s">
        <v>8</v>
      </c>
      <c r="FM10" s="30" t="s">
        <v>8</v>
      </c>
      <c r="FN10" s="35">
        <f t="shared" si="128"/>
        <v>0.47925307262030775</v>
      </c>
      <c r="FO10" s="33">
        <f t="shared" si="129"/>
        <v>4.5920460740159375E-2</v>
      </c>
      <c r="FP10" s="34">
        <f t="shared" si="130"/>
        <v>677259.59749157529</v>
      </c>
      <c r="FQ10" s="80">
        <f t="shared" si="131"/>
        <v>0</v>
      </c>
      <c r="FR10" s="76" t="s">
        <v>8</v>
      </c>
      <c r="FS10" s="30" t="s">
        <v>8</v>
      </c>
      <c r="FT10" s="35">
        <f t="shared" si="132"/>
        <v>0.47925307262030775</v>
      </c>
      <c r="FU10" s="33">
        <f t="shared" si="133"/>
        <v>4.5920460740159375E-2</v>
      </c>
      <c r="FV10" s="34">
        <f t="shared" si="134"/>
        <v>677259.59749157529</v>
      </c>
      <c r="FW10" s="80">
        <f t="shared" si="135"/>
        <v>0</v>
      </c>
      <c r="FX10" s="76" t="s">
        <v>8</v>
      </c>
      <c r="FY10" s="30" t="s">
        <v>8</v>
      </c>
      <c r="FZ10" s="35">
        <f t="shared" si="136"/>
        <v>0.47925307262030775</v>
      </c>
      <c r="GA10" s="33">
        <f t="shared" si="137"/>
        <v>4.5920460740159375E-2</v>
      </c>
      <c r="GB10" s="34">
        <f t="shared" si="138"/>
        <v>677259.59749157529</v>
      </c>
      <c r="GC10" s="80">
        <f t="shared" si="139"/>
        <v>0</v>
      </c>
      <c r="GD10" s="76" t="s">
        <v>8</v>
      </c>
      <c r="GE10" s="30" t="s">
        <v>8</v>
      </c>
      <c r="GF10" s="35">
        <f t="shared" si="140"/>
        <v>0.47925307262030775</v>
      </c>
      <c r="GG10" s="33">
        <f t="shared" si="141"/>
        <v>4.5920460740159375E-2</v>
      </c>
      <c r="GH10" s="34">
        <f t="shared" si="142"/>
        <v>677259.59749157529</v>
      </c>
      <c r="GI10" s="128">
        <f t="shared" si="143"/>
        <v>0</v>
      </c>
      <c r="GJ10" s="176">
        <f t="shared" ref="GJ10:GJ22" si="146">Q10+W10+AC10+AI10+AO10+AU10+BA10+BG10+BM10+BS10+BY10+CE10+CK10+CQ10+CW10+DC10+DI10+DO10+DU10+EA10+EG10+EM10+ES10+EY10+FE10+FK10+FQ10+FW10+GC10+GI10</f>
        <v>2633365.7096769013</v>
      </c>
      <c r="GK10" s="99">
        <f t="shared" si="144"/>
        <v>2783127.0295129945</v>
      </c>
      <c r="GL10" s="217">
        <f t="shared" si="145"/>
        <v>0.47925307262030775</v>
      </c>
      <c r="GM10" s="231">
        <f t="shared" ref="GM10:GM22" si="147">ROUND(GK10,2)</f>
        <v>2783127.03</v>
      </c>
      <c r="GN10" s="234"/>
    </row>
    <row r="11" spans="1:196" ht="15.75" x14ac:dyDescent="0.25">
      <c r="A11" s="161" t="s">
        <v>176</v>
      </c>
      <c r="B11" s="164" t="s">
        <v>8</v>
      </c>
      <c r="C11" s="164" t="s">
        <v>8</v>
      </c>
      <c r="D11" s="164" t="s">
        <v>8</v>
      </c>
      <c r="E11" s="164" t="s">
        <v>8</v>
      </c>
      <c r="F11" s="164" t="s">
        <v>8</v>
      </c>
      <c r="G11" s="108">
        <f>'Исходные данные'!C13</f>
        <v>546</v>
      </c>
      <c r="H11" s="31">
        <f>'Исходные данные'!F13</f>
        <v>124007.11494559734</v>
      </c>
      <c r="I11" s="32">
        <f>'Расчет КРП'!G9</f>
        <v>4.5629077159399731</v>
      </c>
      <c r="J11" s="115" t="s">
        <v>8</v>
      </c>
      <c r="K11" s="119">
        <f t="shared" si="22"/>
        <v>3.6630272621647204E-2</v>
      </c>
      <c r="L11" s="77">
        <f t="shared" si="23"/>
        <v>100085.28840943301</v>
      </c>
      <c r="M11" s="73">
        <f t="shared" si="24"/>
        <v>6.6194313374164343E-2</v>
      </c>
      <c r="N11" s="30" t="s">
        <v>8</v>
      </c>
      <c r="O11" s="33">
        <f t="shared" si="25"/>
        <v>8.6770887708501693E-2</v>
      </c>
      <c r="P11" s="34">
        <f t="shared" si="26"/>
        <v>333378.29409481934</v>
      </c>
      <c r="Q11" s="80">
        <f t="shared" si="27"/>
        <v>333378.29409481934</v>
      </c>
      <c r="R11" s="169" t="s">
        <v>8</v>
      </c>
      <c r="S11" s="30" t="s">
        <v>8</v>
      </c>
      <c r="T11" s="35">
        <f t="shared" si="28"/>
        <v>0.16467041939590568</v>
      </c>
      <c r="U11" s="33">
        <f t="shared" si="29"/>
        <v>8.9809205385802865E-2</v>
      </c>
      <c r="V11" s="53">
        <f t="shared" si="30"/>
        <v>442730.6329929402</v>
      </c>
      <c r="W11" s="80">
        <f t="shared" si="31"/>
        <v>442730.6329929402</v>
      </c>
      <c r="X11" s="76" t="s">
        <v>8</v>
      </c>
      <c r="Y11" s="30" t="s">
        <v>8</v>
      </c>
      <c r="Z11" s="35">
        <f t="shared" si="32"/>
        <v>0.29544794608540637</v>
      </c>
      <c r="AA11" s="33">
        <f t="shared" si="33"/>
        <v>6.9573673473393605E-2</v>
      </c>
      <c r="AB11" s="53">
        <f t="shared" si="34"/>
        <v>429226.61566598353</v>
      </c>
      <c r="AC11" s="80">
        <f t="shared" si="35"/>
        <v>429226.61566598353</v>
      </c>
      <c r="AD11" s="76" t="s">
        <v>8</v>
      </c>
      <c r="AE11" s="30" t="s">
        <v>8</v>
      </c>
      <c r="AF11" s="35">
        <f t="shared" si="36"/>
        <v>0.42223654168501851</v>
      </c>
      <c r="AG11" s="33">
        <f t="shared" si="37"/>
        <v>5.4266171410699948E-2</v>
      </c>
      <c r="AH11" s="53">
        <f t="shared" si="38"/>
        <v>401983.55250208412</v>
      </c>
      <c r="AI11" s="80">
        <f t="shared" si="39"/>
        <v>193077.69083763665</v>
      </c>
      <c r="AJ11" s="76" t="s">
        <v>8</v>
      </c>
      <c r="AK11" s="30" t="s">
        <v>8</v>
      </c>
      <c r="AL11" s="35">
        <f t="shared" si="40"/>
        <v>0.4792694664139221</v>
      </c>
      <c r="AM11" s="33">
        <f t="shared" si="41"/>
        <v>4.590406694654503E-2</v>
      </c>
      <c r="AN11" s="53">
        <f t="shared" si="42"/>
        <v>365037.02552394272</v>
      </c>
      <c r="AO11" s="80">
        <f t="shared" si="43"/>
        <v>0</v>
      </c>
      <c r="AP11" s="76" t="s">
        <v>8</v>
      </c>
      <c r="AQ11" s="30" t="s">
        <v>8</v>
      </c>
      <c r="AR11" s="35">
        <f t="shared" si="44"/>
        <v>0.4792694664139221</v>
      </c>
      <c r="AS11" s="33">
        <f t="shared" si="45"/>
        <v>4.590406694654503E-2</v>
      </c>
      <c r="AT11" s="53">
        <f t="shared" si="46"/>
        <v>365037.02552394272</v>
      </c>
      <c r="AU11" s="80">
        <f t="shared" si="47"/>
        <v>0</v>
      </c>
      <c r="AV11" s="76" t="s">
        <v>8</v>
      </c>
      <c r="AW11" s="30" t="s">
        <v>8</v>
      </c>
      <c r="AX11" s="35">
        <f t="shared" si="48"/>
        <v>0.4792694664139221</v>
      </c>
      <c r="AY11" s="33">
        <f t="shared" si="49"/>
        <v>4.590406694654503E-2</v>
      </c>
      <c r="AZ11" s="53">
        <f t="shared" si="50"/>
        <v>365037.02552394272</v>
      </c>
      <c r="BA11" s="80">
        <f t="shared" si="51"/>
        <v>0</v>
      </c>
      <c r="BB11" s="76" t="s">
        <v>8</v>
      </c>
      <c r="BC11" s="30" t="s">
        <v>8</v>
      </c>
      <c r="BD11" s="35">
        <f t="shared" si="52"/>
        <v>0.4792694664139221</v>
      </c>
      <c r="BE11" s="33">
        <f t="shared" si="53"/>
        <v>4.590406694654503E-2</v>
      </c>
      <c r="BF11" s="53">
        <f t="shared" si="54"/>
        <v>365037.02552394272</v>
      </c>
      <c r="BG11" s="80">
        <f t="shared" si="55"/>
        <v>0</v>
      </c>
      <c r="BH11" s="76" t="s">
        <v>8</v>
      </c>
      <c r="BI11" s="30" t="s">
        <v>8</v>
      </c>
      <c r="BJ11" s="35">
        <f t="shared" si="56"/>
        <v>0.4792694664139221</v>
      </c>
      <c r="BK11" s="33">
        <f t="shared" si="57"/>
        <v>4.590406694654503E-2</v>
      </c>
      <c r="BL11" s="53">
        <f t="shared" si="58"/>
        <v>365037.02552394272</v>
      </c>
      <c r="BM11" s="80">
        <f t="shared" si="59"/>
        <v>0</v>
      </c>
      <c r="BN11" s="76" t="s">
        <v>8</v>
      </c>
      <c r="BO11" s="30" t="s">
        <v>8</v>
      </c>
      <c r="BP11" s="35">
        <f t="shared" si="60"/>
        <v>0.4792694664139221</v>
      </c>
      <c r="BQ11" s="33">
        <f t="shared" si="61"/>
        <v>4.590406694654503E-2</v>
      </c>
      <c r="BR11" s="53">
        <f t="shared" si="62"/>
        <v>365037.02552394272</v>
      </c>
      <c r="BS11" s="128">
        <f t="shared" si="63"/>
        <v>0</v>
      </c>
      <c r="BT11" s="76" t="s">
        <v>8</v>
      </c>
      <c r="BU11" s="30" t="s">
        <v>8</v>
      </c>
      <c r="BV11" s="35">
        <f t="shared" si="64"/>
        <v>0.4792694664139221</v>
      </c>
      <c r="BW11" s="33">
        <f t="shared" si="65"/>
        <v>4.590406694654503E-2</v>
      </c>
      <c r="BX11" s="53">
        <f t="shared" si="66"/>
        <v>365037.02552394272</v>
      </c>
      <c r="BY11" s="128">
        <f t="shared" si="67"/>
        <v>0</v>
      </c>
      <c r="BZ11" s="76" t="s">
        <v>8</v>
      </c>
      <c r="CA11" s="30" t="s">
        <v>8</v>
      </c>
      <c r="CB11" s="35">
        <f t="shared" si="68"/>
        <v>0.4792694664139221</v>
      </c>
      <c r="CC11" s="33">
        <f t="shared" si="69"/>
        <v>4.590406694654503E-2</v>
      </c>
      <c r="CD11" s="53">
        <f t="shared" si="70"/>
        <v>365037.02552394272</v>
      </c>
      <c r="CE11" s="128">
        <f t="shared" si="71"/>
        <v>0</v>
      </c>
      <c r="CF11" s="76" t="s">
        <v>8</v>
      </c>
      <c r="CG11" s="30" t="s">
        <v>8</v>
      </c>
      <c r="CH11" s="35">
        <f t="shared" si="72"/>
        <v>0.4792694664139221</v>
      </c>
      <c r="CI11" s="33">
        <f t="shared" si="73"/>
        <v>4.590406694654503E-2</v>
      </c>
      <c r="CJ11" s="53">
        <f t="shared" si="74"/>
        <v>365037.02552394272</v>
      </c>
      <c r="CK11" s="128">
        <f t="shared" si="75"/>
        <v>0</v>
      </c>
      <c r="CL11" s="76" t="s">
        <v>8</v>
      </c>
      <c r="CM11" s="30" t="s">
        <v>8</v>
      </c>
      <c r="CN11" s="35">
        <f t="shared" si="76"/>
        <v>0.4792694664139221</v>
      </c>
      <c r="CO11" s="33">
        <f t="shared" si="77"/>
        <v>4.590406694654503E-2</v>
      </c>
      <c r="CP11" s="53">
        <f t="shared" si="78"/>
        <v>365037.02552394272</v>
      </c>
      <c r="CQ11" s="128">
        <f t="shared" si="79"/>
        <v>0</v>
      </c>
      <c r="CR11" s="76" t="s">
        <v>8</v>
      </c>
      <c r="CS11" s="30" t="s">
        <v>8</v>
      </c>
      <c r="CT11" s="35">
        <f t="shared" si="80"/>
        <v>0.4792694664139221</v>
      </c>
      <c r="CU11" s="33">
        <f t="shared" si="81"/>
        <v>4.590406694654503E-2</v>
      </c>
      <c r="CV11" s="53">
        <f t="shared" si="82"/>
        <v>365037.02552394272</v>
      </c>
      <c r="CW11" s="128">
        <f t="shared" si="83"/>
        <v>0</v>
      </c>
      <c r="CX11" s="76" t="s">
        <v>8</v>
      </c>
      <c r="CY11" s="30" t="s">
        <v>8</v>
      </c>
      <c r="CZ11" s="35">
        <f t="shared" si="84"/>
        <v>0.4792694664139221</v>
      </c>
      <c r="DA11" s="33">
        <f t="shared" si="85"/>
        <v>4.590406694654503E-2</v>
      </c>
      <c r="DB11" s="53">
        <f t="shared" si="86"/>
        <v>365037.02552394272</v>
      </c>
      <c r="DC11" s="128">
        <f t="shared" si="87"/>
        <v>0</v>
      </c>
      <c r="DD11" s="76" t="s">
        <v>8</v>
      </c>
      <c r="DE11" s="30" t="s">
        <v>8</v>
      </c>
      <c r="DF11" s="35">
        <f t="shared" si="88"/>
        <v>0.4792694664139221</v>
      </c>
      <c r="DG11" s="33">
        <f t="shared" si="89"/>
        <v>4.590406694654503E-2</v>
      </c>
      <c r="DH11" s="53">
        <f t="shared" si="90"/>
        <v>365037.02552394272</v>
      </c>
      <c r="DI11" s="128">
        <f t="shared" si="91"/>
        <v>0</v>
      </c>
      <c r="DJ11" s="76" t="s">
        <v>8</v>
      </c>
      <c r="DK11" s="30" t="s">
        <v>8</v>
      </c>
      <c r="DL11" s="35">
        <f t="shared" si="92"/>
        <v>0.4792694664139221</v>
      </c>
      <c r="DM11" s="33">
        <f t="shared" si="93"/>
        <v>4.590406694654503E-2</v>
      </c>
      <c r="DN11" s="53">
        <f t="shared" si="94"/>
        <v>365037.02552394272</v>
      </c>
      <c r="DO11" s="128">
        <f t="shared" si="95"/>
        <v>0</v>
      </c>
      <c r="DP11" s="76" t="s">
        <v>8</v>
      </c>
      <c r="DQ11" s="30" t="s">
        <v>8</v>
      </c>
      <c r="DR11" s="35">
        <f t="shared" si="96"/>
        <v>0.4792694664139221</v>
      </c>
      <c r="DS11" s="33">
        <f t="shared" si="97"/>
        <v>4.590406694654503E-2</v>
      </c>
      <c r="DT11" s="53">
        <f t="shared" si="98"/>
        <v>365037.02552394272</v>
      </c>
      <c r="DU11" s="128">
        <f t="shared" si="99"/>
        <v>0</v>
      </c>
      <c r="DV11" s="76" t="s">
        <v>8</v>
      </c>
      <c r="DW11" s="30" t="s">
        <v>8</v>
      </c>
      <c r="DX11" s="35">
        <f t="shared" si="100"/>
        <v>0.4792694664139221</v>
      </c>
      <c r="DY11" s="33">
        <f t="shared" si="101"/>
        <v>4.590406694654503E-2</v>
      </c>
      <c r="DZ11" s="34">
        <f t="shared" si="102"/>
        <v>365037.02552394272</v>
      </c>
      <c r="EA11" s="80">
        <f t="shared" si="103"/>
        <v>0</v>
      </c>
      <c r="EB11" s="76" t="s">
        <v>8</v>
      </c>
      <c r="EC11" s="30" t="s">
        <v>8</v>
      </c>
      <c r="ED11" s="35">
        <f t="shared" si="104"/>
        <v>0.4792694664139221</v>
      </c>
      <c r="EE11" s="33">
        <f t="shared" si="105"/>
        <v>4.590406694654503E-2</v>
      </c>
      <c r="EF11" s="34">
        <f t="shared" si="106"/>
        <v>365037.02552394272</v>
      </c>
      <c r="EG11" s="80">
        <f t="shared" si="107"/>
        <v>0</v>
      </c>
      <c r="EH11" s="76" t="s">
        <v>8</v>
      </c>
      <c r="EI11" s="30" t="s">
        <v>8</v>
      </c>
      <c r="EJ11" s="35">
        <f t="shared" si="108"/>
        <v>0.4792694664139221</v>
      </c>
      <c r="EK11" s="33">
        <f t="shared" si="109"/>
        <v>4.590406694654503E-2</v>
      </c>
      <c r="EL11" s="34">
        <f t="shared" si="110"/>
        <v>365037.02552394272</v>
      </c>
      <c r="EM11" s="80">
        <f t="shared" si="111"/>
        <v>0</v>
      </c>
      <c r="EN11" s="76" t="s">
        <v>8</v>
      </c>
      <c r="EO11" s="30" t="s">
        <v>8</v>
      </c>
      <c r="EP11" s="35">
        <f t="shared" si="112"/>
        <v>0.4792694664139221</v>
      </c>
      <c r="EQ11" s="33">
        <f t="shared" si="113"/>
        <v>4.590406694654503E-2</v>
      </c>
      <c r="ER11" s="34">
        <f t="shared" si="114"/>
        <v>365037.02552394272</v>
      </c>
      <c r="ES11" s="80">
        <f t="shared" si="115"/>
        <v>0</v>
      </c>
      <c r="ET11" s="76" t="s">
        <v>8</v>
      </c>
      <c r="EU11" s="30" t="s">
        <v>8</v>
      </c>
      <c r="EV11" s="35">
        <f t="shared" si="116"/>
        <v>0.4792694664139221</v>
      </c>
      <c r="EW11" s="33">
        <f t="shared" si="117"/>
        <v>4.590406694654503E-2</v>
      </c>
      <c r="EX11" s="34">
        <f t="shared" si="118"/>
        <v>365037.02552394272</v>
      </c>
      <c r="EY11" s="80">
        <f t="shared" si="119"/>
        <v>0</v>
      </c>
      <c r="EZ11" s="76" t="s">
        <v>8</v>
      </c>
      <c r="FA11" s="30" t="s">
        <v>8</v>
      </c>
      <c r="FB11" s="35">
        <f t="shared" si="120"/>
        <v>0.4792694664139221</v>
      </c>
      <c r="FC11" s="33">
        <f t="shared" si="121"/>
        <v>4.590406694654503E-2</v>
      </c>
      <c r="FD11" s="34">
        <f t="shared" si="122"/>
        <v>365037.02552394272</v>
      </c>
      <c r="FE11" s="80">
        <f t="shared" si="123"/>
        <v>0</v>
      </c>
      <c r="FF11" s="76" t="s">
        <v>8</v>
      </c>
      <c r="FG11" s="30" t="s">
        <v>8</v>
      </c>
      <c r="FH11" s="35">
        <f t="shared" si="124"/>
        <v>0.4792694664139221</v>
      </c>
      <c r="FI11" s="33">
        <f t="shared" si="125"/>
        <v>4.590406694654503E-2</v>
      </c>
      <c r="FJ11" s="34">
        <f t="shared" si="126"/>
        <v>365037.02552394272</v>
      </c>
      <c r="FK11" s="80">
        <f t="shared" si="127"/>
        <v>0</v>
      </c>
      <c r="FL11" s="76" t="s">
        <v>8</v>
      </c>
      <c r="FM11" s="30" t="s">
        <v>8</v>
      </c>
      <c r="FN11" s="35">
        <f t="shared" si="128"/>
        <v>0.4792694664139221</v>
      </c>
      <c r="FO11" s="33">
        <f t="shared" si="129"/>
        <v>4.590406694654503E-2</v>
      </c>
      <c r="FP11" s="34">
        <f t="shared" si="130"/>
        <v>365037.02552394272</v>
      </c>
      <c r="FQ11" s="80">
        <f t="shared" si="131"/>
        <v>0</v>
      </c>
      <c r="FR11" s="76" t="s">
        <v>8</v>
      </c>
      <c r="FS11" s="30" t="s">
        <v>8</v>
      </c>
      <c r="FT11" s="35">
        <f t="shared" si="132"/>
        <v>0.4792694664139221</v>
      </c>
      <c r="FU11" s="33">
        <f t="shared" si="133"/>
        <v>4.590406694654503E-2</v>
      </c>
      <c r="FV11" s="34">
        <f t="shared" si="134"/>
        <v>365037.02552394272</v>
      </c>
      <c r="FW11" s="80">
        <f t="shared" si="135"/>
        <v>0</v>
      </c>
      <c r="FX11" s="76" t="s">
        <v>8</v>
      </c>
      <c r="FY11" s="30" t="s">
        <v>8</v>
      </c>
      <c r="FZ11" s="35">
        <f t="shared" si="136"/>
        <v>0.4792694664139221</v>
      </c>
      <c r="GA11" s="33">
        <f t="shared" si="137"/>
        <v>4.590406694654503E-2</v>
      </c>
      <c r="GB11" s="34">
        <f t="shared" si="138"/>
        <v>365037.02552394272</v>
      </c>
      <c r="GC11" s="80">
        <f t="shared" si="139"/>
        <v>0</v>
      </c>
      <c r="GD11" s="76" t="s">
        <v>8</v>
      </c>
      <c r="GE11" s="30" t="s">
        <v>8</v>
      </c>
      <c r="GF11" s="35">
        <f t="shared" si="140"/>
        <v>0.4792694664139221</v>
      </c>
      <c r="GG11" s="33">
        <f t="shared" si="141"/>
        <v>4.590406694654503E-2</v>
      </c>
      <c r="GH11" s="34">
        <f t="shared" si="142"/>
        <v>365037.02552394272</v>
      </c>
      <c r="GI11" s="128">
        <f t="shared" si="143"/>
        <v>0</v>
      </c>
      <c r="GJ11" s="176">
        <f t="shared" si="146"/>
        <v>1398413.2335913796</v>
      </c>
      <c r="GK11" s="99">
        <f t="shared" si="144"/>
        <v>1498498.5220008127</v>
      </c>
      <c r="GL11" s="217">
        <f t="shared" si="145"/>
        <v>0.47926946641392204</v>
      </c>
      <c r="GM11" s="231">
        <f t="shared" si="147"/>
        <v>1498498.52</v>
      </c>
      <c r="GN11" s="234"/>
    </row>
    <row r="12" spans="1:196" ht="15.75" x14ac:dyDescent="0.25">
      <c r="A12" s="161" t="s">
        <v>177</v>
      </c>
      <c r="B12" s="164" t="s">
        <v>8</v>
      </c>
      <c r="C12" s="164" t="s">
        <v>8</v>
      </c>
      <c r="D12" s="164" t="s">
        <v>8</v>
      </c>
      <c r="E12" s="164" t="s">
        <v>8</v>
      </c>
      <c r="F12" s="164" t="s">
        <v>8</v>
      </c>
      <c r="G12" s="108">
        <f>'Исходные данные'!C14</f>
        <v>219</v>
      </c>
      <c r="H12" s="31">
        <f>'Исходные данные'!F14</f>
        <v>56827.445956351985</v>
      </c>
      <c r="I12" s="32">
        <f>'Расчет КРП'!G10</f>
        <v>10.466551206784082</v>
      </c>
      <c r="J12" s="115" t="s">
        <v>8</v>
      </c>
      <c r="K12" s="119">
        <f t="shared" si="22"/>
        <v>1.8244765911498071E-2</v>
      </c>
      <c r="L12" s="77">
        <f t="shared" si="23"/>
        <v>40144.099197190168</v>
      </c>
      <c r="M12" s="73">
        <f t="shared" si="24"/>
        <v>3.1133251048473067E-2</v>
      </c>
      <c r="N12" s="30" t="s">
        <v>8</v>
      </c>
      <c r="O12" s="33">
        <f t="shared" si="25"/>
        <v>0.12183195003419298</v>
      </c>
      <c r="P12" s="34">
        <f t="shared" si="26"/>
        <v>430663.30044083169</v>
      </c>
      <c r="Q12" s="80">
        <f t="shared" si="27"/>
        <v>430663.30044083169</v>
      </c>
      <c r="R12" s="169" t="s">
        <v>8</v>
      </c>
      <c r="S12" s="30" t="s">
        <v>8</v>
      </c>
      <c r="T12" s="35">
        <f t="shared" si="28"/>
        <v>0.16940008621912653</v>
      </c>
      <c r="U12" s="33">
        <f t="shared" si="29"/>
        <v>8.5079538562582019E-2</v>
      </c>
      <c r="V12" s="53">
        <f t="shared" si="30"/>
        <v>385884.41041805781</v>
      </c>
      <c r="W12" s="80">
        <f t="shared" si="31"/>
        <v>385884.41041805781</v>
      </c>
      <c r="X12" s="76" t="s">
        <v>8</v>
      </c>
      <c r="Y12" s="30" t="s">
        <v>8</v>
      </c>
      <c r="Z12" s="35">
        <f t="shared" si="32"/>
        <v>0.29329041101713837</v>
      </c>
      <c r="AA12" s="33">
        <f t="shared" si="33"/>
        <v>7.1731208541661595E-2</v>
      </c>
      <c r="AB12" s="53">
        <f t="shared" si="34"/>
        <v>407158.2572167255</v>
      </c>
      <c r="AC12" s="80">
        <f t="shared" si="35"/>
        <v>407158.2572167255</v>
      </c>
      <c r="AD12" s="76" t="s">
        <v>8</v>
      </c>
      <c r="AE12" s="30" t="s">
        <v>8</v>
      </c>
      <c r="AF12" s="35">
        <f t="shared" si="36"/>
        <v>0.42401082202343926</v>
      </c>
      <c r="AG12" s="33">
        <f t="shared" si="37"/>
        <v>5.2491891072279195E-2</v>
      </c>
      <c r="AH12" s="53">
        <f t="shared" si="38"/>
        <v>357754.1743577107</v>
      </c>
      <c r="AI12" s="80">
        <f t="shared" si="39"/>
        <v>171833.77141320703</v>
      </c>
      <c r="AJ12" s="76" t="s">
        <v>8</v>
      </c>
      <c r="AK12" s="30" t="s">
        <v>8</v>
      </c>
      <c r="AL12" s="35">
        <f t="shared" si="40"/>
        <v>0.47917900497383631</v>
      </c>
      <c r="AM12" s="33">
        <f t="shared" si="41"/>
        <v>4.5994528386630817E-2</v>
      </c>
      <c r="AN12" s="53">
        <f t="shared" si="42"/>
        <v>336515.68548694369</v>
      </c>
      <c r="AO12" s="80">
        <f t="shared" si="43"/>
        <v>0</v>
      </c>
      <c r="AP12" s="76" t="s">
        <v>8</v>
      </c>
      <c r="AQ12" s="30" t="s">
        <v>8</v>
      </c>
      <c r="AR12" s="35">
        <f t="shared" si="44"/>
        <v>0.47917900497383631</v>
      </c>
      <c r="AS12" s="33">
        <f t="shared" si="45"/>
        <v>4.5994528386630817E-2</v>
      </c>
      <c r="AT12" s="53">
        <f t="shared" si="46"/>
        <v>336515.68548694369</v>
      </c>
      <c r="AU12" s="80">
        <f t="shared" si="47"/>
        <v>0</v>
      </c>
      <c r="AV12" s="76" t="s">
        <v>8</v>
      </c>
      <c r="AW12" s="30" t="s">
        <v>8</v>
      </c>
      <c r="AX12" s="35">
        <f t="shared" si="48"/>
        <v>0.47917900497383631</v>
      </c>
      <c r="AY12" s="33">
        <f t="shared" si="49"/>
        <v>4.5994528386630817E-2</v>
      </c>
      <c r="AZ12" s="53">
        <f t="shared" si="50"/>
        <v>336515.68548694369</v>
      </c>
      <c r="BA12" s="80">
        <f t="shared" si="51"/>
        <v>0</v>
      </c>
      <c r="BB12" s="76" t="s">
        <v>8</v>
      </c>
      <c r="BC12" s="30" t="s">
        <v>8</v>
      </c>
      <c r="BD12" s="35">
        <f t="shared" si="52"/>
        <v>0.47917900497383631</v>
      </c>
      <c r="BE12" s="33">
        <f t="shared" si="53"/>
        <v>4.5994528386630817E-2</v>
      </c>
      <c r="BF12" s="53">
        <f t="shared" si="54"/>
        <v>336515.68548694369</v>
      </c>
      <c r="BG12" s="80">
        <f t="shared" si="55"/>
        <v>0</v>
      </c>
      <c r="BH12" s="76" t="s">
        <v>8</v>
      </c>
      <c r="BI12" s="30" t="s">
        <v>8</v>
      </c>
      <c r="BJ12" s="35">
        <f t="shared" si="56"/>
        <v>0.47917900497383631</v>
      </c>
      <c r="BK12" s="33">
        <f t="shared" si="57"/>
        <v>4.5994528386630817E-2</v>
      </c>
      <c r="BL12" s="53">
        <f t="shared" si="58"/>
        <v>336515.68548694369</v>
      </c>
      <c r="BM12" s="80">
        <f t="shared" si="59"/>
        <v>0</v>
      </c>
      <c r="BN12" s="76" t="s">
        <v>8</v>
      </c>
      <c r="BO12" s="30" t="s">
        <v>8</v>
      </c>
      <c r="BP12" s="35">
        <f t="shared" si="60"/>
        <v>0.47917900497383631</v>
      </c>
      <c r="BQ12" s="33">
        <f t="shared" si="61"/>
        <v>4.5994528386630817E-2</v>
      </c>
      <c r="BR12" s="53">
        <f t="shared" si="62"/>
        <v>336515.68548694369</v>
      </c>
      <c r="BS12" s="128">
        <f t="shared" si="63"/>
        <v>0</v>
      </c>
      <c r="BT12" s="76" t="s">
        <v>8</v>
      </c>
      <c r="BU12" s="30" t="s">
        <v>8</v>
      </c>
      <c r="BV12" s="35">
        <f t="shared" si="64"/>
        <v>0.47917900497383631</v>
      </c>
      <c r="BW12" s="33">
        <f t="shared" si="65"/>
        <v>4.5994528386630817E-2</v>
      </c>
      <c r="BX12" s="53">
        <f t="shared" si="66"/>
        <v>336515.68548694369</v>
      </c>
      <c r="BY12" s="128">
        <f t="shared" si="67"/>
        <v>0</v>
      </c>
      <c r="BZ12" s="76" t="s">
        <v>8</v>
      </c>
      <c r="CA12" s="30" t="s">
        <v>8</v>
      </c>
      <c r="CB12" s="35">
        <f t="shared" si="68"/>
        <v>0.47917900497383631</v>
      </c>
      <c r="CC12" s="33">
        <f t="shared" si="69"/>
        <v>4.5994528386630817E-2</v>
      </c>
      <c r="CD12" s="53">
        <f t="shared" si="70"/>
        <v>336515.68548694369</v>
      </c>
      <c r="CE12" s="128">
        <f t="shared" si="71"/>
        <v>0</v>
      </c>
      <c r="CF12" s="76" t="s">
        <v>8</v>
      </c>
      <c r="CG12" s="30" t="s">
        <v>8</v>
      </c>
      <c r="CH12" s="35">
        <f t="shared" si="72"/>
        <v>0.47917900497383631</v>
      </c>
      <c r="CI12" s="33">
        <f t="shared" si="73"/>
        <v>4.5994528386630817E-2</v>
      </c>
      <c r="CJ12" s="53">
        <f t="shared" si="74"/>
        <v>336515.68548694369</v>
      </c>
      <c r="CK12" s="128">
        <f t="shared" si="75"/>
        <v>0</v>
      </c>
      <c r="CL12" s="76" t="s">
        <v>8</v>
      </c>
      <c r="CM12" s="30" t="s">
        <v>8</v>
      </c>
      <c r="CN12" s="35">
        <f t="shared" si="76"/>
        <v>0.47917900497383631</v>
      </c>
      <c r="CO12" s="33">
        <f t="shared" si="77"/>
        <v>4.5994528386630817E-2</v>
      </c>
      <c r="CP12" s="53">
        <f t="shared" si="78"/>
        <v>336515.68548694369</v>
      </c>
      <c r="CQ12" s="128">
        <f t="shared" si="79"/>
        <v>0</v>
      </c>
      <c r="CR12" s="76" t="s">
        <v>8</v>
      </c>
      <c r="CS12" s="30" t="s">
        <v>8</v>
      </c>
      <c r="CT12" s="35">
        <f t="shared" si="80"/>
        <v>0.47917900497383631</v>
      </c>
      <c r="CU12" s="33">
        <f t="shared" si="81"/>
        <v>4.5994528386630817E-2</v>
      </c>
      <c r="CV12" s="53">
        <f t="shared" si="82"/>
        <v>336515.68548694369</v>
      </c>
      <c r="CW12" s="128">
        <f t="shared" si="83"/>
        <v>0</v>
      </c>
      <c r="CX12" s="76" t="s">
        <v>8</v>
      </c>
      <c r="CY12" s="30" t="s">
        <v>8</v>
      </c>
      <c r="CZ12" s="35">
        <f t="shared" si="84"/>
        <v>0.47917900497383631</v>
      </c>
      <c r="DA12" s="33">
        <f t="shared" si="85"/>
        <v>4.5994528386630817E-2</v>
      </c>
      <c r="DB12" s="53">
        <f t="shared" si="86"/>
        <v>336515.68548694369</v>
      </c>
      <c r="DC12" s="128">
        <f t="shared" si="87"/>
        <v>0</v>
      </c>
      <c r="DD12" s="76" t="s">
        <v>8</v>
      </c>
      <c r="DE12" s="30" t="s">
        <v>8</v>
      </c>
      <c r="DF12" s="35">
        <f t="shared" si="88"/>
        <v>0.47917900497383631</v>
      </c>
      <c r="DG12" s="33">
        <f t="shared" si="89"/>
        <v>4.5994528386630817E-2</v>
      </c>
      <c r="DH12" s="53">
        <f t="shared" si="90"/>
        <v>336515.68548694369</v>
      </c>
      <c r="DI12" s="128">
        <f t="shared" si="91"/>
        <v>0</v>
      </c>
      <c r="DJ12" s="76" t="s">
        <v>8</v>
      </c>
      <c r="DK12" s="30" t="s">
        <v>8</v>
      </c>
      <c r="DL12" s="35">
        <f t="shared" si="92"/>
        <v>0.47917900497383631</v>
      </c>
      <c r="DM12" s="33">
        <f t="shared" si="93"/>
        <v>4.5994528386630817E-2</v>
      </c>
      <c r="DN12" s="53">
        <f t="shared" si="94"/>
        <v>336515.68548694369</v>
      </c>
      <c r="DO12" s="128">
        <f t="shared" si="95"/>
        <v>0</v>
      </c>
      <c r="DP12" s="76" t="s">
        <v>8</v>
      </c>
      <c r="DQ12" s="30" t="s">
        <v>8</v>
      </c>
      <c r="DR12" s="35">
        <f t="shared" si="96"/>
        <v>0.47917900497383631</v>
      </c>
      <c r="DS12" s="33">
        <f t="shared" si="97"/>
        <v>4.5994528386630817E-2</v>
      </c>
      <c r="DT12" s="53">
        <f t="shared" si="98"/>
        <v>336515.68548694369</v>
      </c>
      <c r="DU12" s="128">
        <f t="shared" si="99"/>
        <v>0</v>
      </c>
      <c r="DV12" s="76" t="s">
        <v>8</v>
      </c>
      <c r="DW12" s="30" t="s">
        <v>8</v>
      </c>
      <c r="DX12" s="35">
        <f t="shared" si="100"/>
        <v>0.47917900497383631</v>
      </c>
      <c r="DY12" s="33">
        <f t="shared" si="101"/>
        <v>4.5994528386630817E-2</v>
      </c>
      <c r="DZ12" s="34">
        <f t="shared" si="102"/>
        <v>336515.68548694369</v>
      </c>
      <c r="EA12" s="80">
        <f t="shared" si="103"/>
        <v>0</v>
      </c>
      <c r="EB12" s="76" t="s">
        <v>8</v>
      </c>
      <c r="EC12" s="30" t="s">
        <v>8</v>
      </c>
      <c r="ED12" s="35">
        <f t="shared" si="104"/>
        <v>0.47917900497383631</v>
      </c>
      <c r="EE12" s="33">
        <f t="shared" si="105"/>
        <v>4.5994528386630817E-2</v>
      </c>
      <c r="EF12" s="34">
        <f t="shared" si="106"/>
        <v>336515.68548694369</v>
      </c>
      <c r="EG12" s="80">
        <f t="shared" si="107"/>
        <v>0</v>
      </c>
      <c r="EH12" s="76" t="s">
        <v>8</v>
      </c>
      <c r="EI12" s="30" t="s">
        <v>8</v>
      </c>
      <c r="EJ12" s="35">
        <f t="shared" si="108"/>
        <v>0.47917900497383631</v>
      </c>
      <c r="EK12" s="33">
        <f t="shared" si="109"/>
        <v>4.5994528386630817E-2</v>
      </c>
      <c r="EL12" s="34">
        <f t="shared" si="110"/>
        <v>336515.68548694369</v>
      </c>
      <c r="EM12" s="80">
        <f t="shared" si="111"/>
        <v>0</v>
      </c>
      <c r="EN12" s="76" t="s">
        <v>8</v>
      </c>
      <c r="EO12" s="30" t="s">
        <v>8</v>
      </c>
      <c r="EP12" s="35">
        <f t="shared" si="112"/>
        <v>0.47917900497383631</v>
      </c>
      <c r="EQ12" s="33">
        <f t="shared" si="113"/>
        <v>4.5994528386630817E-2</v>
      </c>
      <c r="ER12" s="34">
        <f t="shared" si="114"/>
        <v>336515.68548694369</v>
      </c>
      <c r="ES12" s="80">
        <f t="shared" si="115"/>
        <v>0</v>
      </c>
      <c r="ET12" s="76" t="s">
        <v>8</v>
      </c>
      <c r="EU12" s="30" t="s">
        <v>8</v>
      </c>
      <c r="EV12" s="35">
        <f t="shared" si="116"/>
        <v>0.47917900497383631</v>
      </c>
      <c r="EW12" s="33">
        <f t="shared" si="117"/>
        <v>4.5994528386630817E-2</v>
      </c>
      <c r="EX12" s="34">
        <f t="shared" si="118"/>
        <v>336515.68548694369</v>
      </c>
      <c r="EY12" s="80">
        <f t="shared" si="119"/>
        <v>0</v>
      </c>
      <c r="EZ12" s="76" t="s">
        <v>8</v>
      </c>
      <c r="FA12" s="30" t="s">
        <v>8</v>
      </c>
      <c r="FB12" s="35">
        <f t="shared" si="120"/>
        <v>0.47917900497383631</v>
      </c>
      <c r="FC12" s="33">
        <f t="shared" si="121"/>
        <v>4.5994528386630817E-2</v>
      </c>
      <c r="FD12" s="34">
        <f t="shared" si="122"/>
        <v>336515.68548694369</v>
      </c>
      <c r="FE12" s="80">
        <f t="shared" si="123"/>
        <v>0</v>
      </c>
      <c r="FF12" s="76" t="s">
        <v>8</v>
      </c>
      <c r="FG12" s="30" t="s">
        <v>8</v>
      </c>
      <c r="FH12" s="35">
        <f t="shared" si="124"/>
        <v>0.47917900497383631</v>
      </c>
      <c r="FI12" s="33">
        <f t="shared" si="125"/>
        <v>4.5994528386630817E-2</v>
      </c>
      <c r="FJ12" s="34">
        <f t="shared" si="126"/>
        <v>336515.68548694369</v>
      </c>
      <c r="FK12" s="80">
        <f t="shared" si="127"/>
        <v>0</v>
      </c>
      <c r="FL12" s="76" t="s">
        <v>8</v>
      </c>
      <c r="FM12" s="30" t="s">
        <v>8</v>
      </c>
      <c r="FN12" s="35">
        <f t="shared" si="128"/>
        <v>0.47917900497383631</v>
      </c>
      <c r="FO12" s="33">
        <f t="shared" si="129"/>
        <v>4.5994528386630817E-2</v>
      </c>
      <c r="FP12" s="34">
        <f t="shared" si="130"/>
        <v>336515.68548694369</v>
      </c>
      <c r="FQ12" s="80">
        <f t="shared" si="131"/>
        <v>0</v>
      </c>
      <c r="FR12" s="76" t="s">
        <v>8</v>
      </c>
      <c r="FS12" s="30" t="s">
        <v>8</v>
      </c>
      <c r="FT12" s="35">
        <f t="shared" si="132"/>
        <v>0.47917900497383631</v>
      </c>
      <c r="FU12" s="33">
        <f t="shared" si="133"/>
        <v>4.5994528386630817E-2</v>
      </c>
      <c r="FV12" s="34">
        <f t="shared" si="134"/>
        <v>336515.68548694369</v>
      </c>
      <c r="FW12" s="80">
        <f t="shared" si="135"/>
        <v>0</v>
      </c>
      <c r="FX12" s="76" t="s">
        <v>8</v>
      </c>
      <c r="FY12" s="30" t="s">
        <v>8</v>
      </c>
      <c r="FZ12" s="35">
        <f t="shared" si="136"/>
        <v>0.47917900497383631</v>
      </c>
      <c r="GA12" s="33">
        <f t="shared" si="137"/>
        <v>4.5994528386630817E-2</v>
      </c>
      <c r="GB12" s="34">
        <f t="shared" si="138"/>
        <v>336515.68548694369</v>
      </c>
      <c r="GC12" s="80">
        <f t="shared" si="139"/>
        <v>0</v>
      </c>
      <c r="GD12" s="76" t="s">
        <v>8</v>
      </c>
      <c r="GE12" s="30" t="s">
        <v>8</v>
      </c>
      <c r="GF12" s="35">
        <f t="shared" si="140"/>
        <v>0.47917900497383631</v>
      </c>
      <c r="GG12" s="33">
        <f t="shared" si="141"/>
        <v>4.5994528386630817E-2</v>
      </c>
      <c r="GH12" s="34">
        <f t="shared" si="142"/>
        <v>336515.68548694369</v>
      </c>
      <c r="GI12" s="128">
        <f t="shared" si="143"/>
        <v>0</v>
      </c>
      <c r="GJ12" s="176">
        <f t="shared" si="146"/>
        <v>1395539.7394888219</v>
      </c>
      <c r="GK12" s="99">
        <f t="shared" si="144"/>
        <v>1435683.8386860122</v>
      </c>
      <c r="GL12" s="217">
        <f t="shared" si="145"/>
        <v>0.4791790049738362</v>
      </c>
      <c r="GM12" s="231">
        <f t="shared" si="147"/>
        <v>1435683.8400000001</v>
      </c>
      <c r="GN12" s="234"/>
    </row>
    <row r="13" spans="1:196" ht="15.75" x14ac:dyDescent="0.25">
      <c r="A13" s="161" t="s">
        <v>178</v>
      </c>
      <c r="B13" s="164" t="s">
        <v>8</v>
      </c>
      <c r="C13" s="164" t="s">
        <v>8</v>
      </c>
      <c r="D13" s="164" t="s">
        <v>8</v>
      </c>
      <c r="E13" s="164" t="s">
        <v>8</v>
      </c>
      <c r="F13" s="164" t="s">
        <v>8</v>
      </c>
      <c r="G13" s="108">
        <f>'Исходные данные'!C15</f>
        <v>200</v>
      </c>
      <c r="H13" s="31">
        <f>'Исходные данные'!F15</f>
        <v>121264.78373132968</v>
      </c>
      <c r="I13" s="32">
        <f>'Расчет КРП'!G11</f>
        <v>10.649657788018432</v>
      </c>
      <c r="J13" s="115" t="s">
        <v>8</v>
      </c>
      <c r="K13" s="119">
        <f t="shared" si="22"/>
        <v>4.189835031965284E-2</v>
      </c>
      <c r="L13" s="77">
        <f t="shared" si="23"/>
        <v>36661.277805653117</v>
      </c>
      <c r="M13" s="73">
        <f t="shared" si="24"/>
        <v>5.4565235242076675E-2</v>
      </c>
      <c r="N13" s="30" t="s">
        <v>8</v>
      </c>
      <c r="O13" s="33">
        <f t="shared" si="25"/>
        <v>9.8399965840589354E-2</v>
      </c>
      <c r="P13" s="34">
        <f t="shared" si="26"/>
        <v>323213.54106051364</v>
      </c>
      <c r="Q13" s="80">
        <f t="shared" si="27"/>
        <v>323213.54106051364</v>
      </c>
      <c r="R13" s="169" t="s">
        <v>8</v>
      </c>
      <c r="S13" s="30" t="s">
        <v>8</v>
      </c>
      <c r="T13" s="35">
        <f t="shared" si="28"/>
        <v>0.16623915865757022</v>
      </c>
      <c r="U13" s="33">
        <f t="shared" si="29"/>
        <v>8.8240466124138328E-2</v>
      </c>
      <c r="V13" s="53">
        <f t="shared" si="30"/>
        <v>371892.85299123579</v>
      </c>
      <c r="W13" s="80">
        <f t="shared" si="31"/>
        <v>371892.85299123579</v>
      </c>
      <c r="X13" s="76" t="s">
        <v>8</v>
      </c>
      <c r="Y13" s="30" t="s">
        <v>8</v>
      </c>
      <c r="Z13" s="35">
        <f t="shared" si="32"/>
        <v>0.29473233331678744</v>
      </c>
      <c r="AA13" s="33">
        <f t="shared" si="33"/>
        <v>7.0289286242012528E-2</v>
      </c>
      <c r="AB13" s="53">
        <f t="shared" si="34"/>
        <v>370733.78308376827</v>
      </c>
      <c r="AC13" s="80">
        <f t="shared" si="35"/>
        <v>370733.78308376827</v>
      </c>
      <c r="AD13" s="76" t="s">
        <v>8</v>
      </c>
      <c r="AE13" s="30" t="s">
        <v>8</v>
      </c>
      <c r="AF13" s="35">
        <f t="shared" si="36"/>
        <v>0.4228250362517848</v>
      </c>
      <c r="AG13" s="33">
        <f t="shared" si="37"/>
        <v>5.3677676843933653E-2</v>
      </c>
      <c r="AH13" s="53">
        <f t="shared" si="38"/>
        <v>339941.45836052357</v>
      </c>
      <c r="AI13" s="80">
        <f t="shared" si="39"/>
        <v>163278.10277732249</v>
      </c>
      <c r="AJ13" s="76" t="s">
        <v>8</v>
      </c>
      <c r="AK13" s="30" t="s">
        <v>8</v>
      </c>
      <c r="AL13" s="35">
        <f t="shared" si="40"/>
        <v>0.47923946209902346</v>
      </c>
      <c r="AM13" s="33">
        <f t="shared" si="41"/>
        <v>4.5934071261443665E-2</v>
      </c>
      <c r="AN13" s="53">
        <f t="shared" si="42"/>
        <v>312285.6388486806</v>
      </c>
      <c r="AO13" s="80">
        <f t="shared" si="43"/>
        <v>0</v>
      </c>
      <c r="AP13" s="76" t="s">
        <v>8</v>
      </c>
      <c r="AQ13" s="30" t="s">
        <v>8</v>
      </c>
      <c r="AR13" s="35">
        <f t="shared" si="44"/>
        <v>0.47923946209902346</v>
      </c>
      <c r="AS13" s="33">
        <f t="shared" si="45"/>
        <v>4.5934071261443665E-2</v>
      </c>
      <c r="AT13" s="53">
        <f t="shared" si="46"/>
        <v>312285.6388486806</v>
      </c>
      <c r="AU13" s="80">
        <f t="shared" si="47"/>
        <v>0</v>
      </c>
      <c r="AV13" s="76" t="s">
        <v>8</v>
      </c>
      <c r="AW13" s="30" t="s">
        <v>8</v>
      </c>
      <c r="AX13" s="35">
        <f t="shared" si="48"/>
        <v>0.47923946209902346</v>
      </c>
      <c r="AY13" s="33">
        <f t="shared" si="49"/>
        <v>4.5934071261443665E-2</v>
      </c>
      <c r="AZ13" s="53">
        <f t="shared" si="50"/>
        <v>312285.6388486806</v>
      </c>
      <c r="BA13" s="80">
        <f t="shared" si="51"/>
        <v>0</v>
      </c>
      <c r="BB13" s="76" t="s">
        <v>8</v>
      </c>
      <c r="BC13" s="30" t="s">
        <v>8</v>
      </c>
      <c r="BD13" s="35">
        <f t="shared" si="52"/>
        <v>0.47923946209902346</v>
      </c>
      <c r="BE13" s="33">
        <f t="shared" si="53"/>
        <v>4.5934071261443665E-2</v>
      </c>
      <c r="BF13" s="53">
        <f t="shared" si="54"/>
        <v>312285.6388486806</v>
      </c>
      <c r="BG13" s="80">
        <f t="shared" si="55"/>
        <v>0</v>
      </c>
      <c r="BH13" s="76" t="s">
        <v>8</v>
      </c>
      <c r="BI13" s="30" t="s">
        <v>8</v>
      </c>
      <c r="BJ13" s="35">
        <f t="shared" si="56"/>
        <v>0.47923946209902346</v>
      </c>
      <c r="BK13" s="33">
        <f t="shared" si="57"/>
        <v>4.5934071261443665E-2</v>
      </c>
      <c r="BL13" s="53">
        <f t="shared" si="58"/>
        <v>312285.6388486806</v>
      </c>
      <c r="BM13" s="80">
        <f t="shared" si="59"/>
        <v>0</v>
      </c>
      <c r="BN13" s="76" t="s">
        <v>8</v>
      </c>
      <c r="BO13" s="30" t="s">
        <v>8</v>
      </c>
      <c r="BP13" s="35">
        <f t="shared" si="60"/>
        <v>0.47923946209902346</v>
      </c>
      <c r="BQ13" s="33">
        <f t="shared" si="61"/>
        <v>4.5934071261443665E-2</v>
      </c>
      <c r="BR13" s="53">
        <f t="shared" si="62"/>
        <v>312285.6388486806</v>
      </c>
      <c r="BS13" s="128">
        <f t="shared" si="63"/>
        <v>0</v>
      </c>
      <c r="BT13" s="76" t="s">
        <v>8</v>
      </c>
      <c r="BU13" s="30" t="s">
        <v>8</v>
      </c>
      <c r="BV13" s="35">
        <f t="shared" si="64"/>
        <v>0.47923946209902346</v>
      </c>
      <c r="BW13" s="33">
        <f t="shared" si="65"/>
        <v>4.5934071261443665E-2</v>
      </c>
      <c r="BX13" s="53">
        <f t="shared" si="66"/>
        <v>312285.6388486806</v>
      </c>
      <c r="BY13" s="128">
        <f t="shared" si="67"/>
        <v>0</v>
      </c>
      <c r="BZ13" s="76" t="s">
        <v>8</v>
      </c>
      <c r="CA13" s="30" t="s">
        <v>8</v>
      </c>
      <c r="CB13" s="35">
        <f t="shared" si="68"/>
        <v>0.47923946209902346</v>
      </c>
      <c r="CC13" s="33">
        <f t="shared" si="69"/>
        <v>4.5934071261443665E-2</v>
      </c>
      <c r="CD13" s="53">
        <f t="shared" si="70"/>
        <v>312285.6388486806</v>
      </c>
      <c r="CE13" s="128">
        <f t="shared" si="71"/>
        <v>0</v>
      </c>
      <c r="CF13" s="76" t="s">
        <v>8</v>
      </c>
      <c r="CG13" s="30" t="s">
        <v>8</v>
      </c>
      <c r="CH13" s="35">
        <f t="shared" si="72"/>
        <v>0.47923946209902346</v>
      </c>
      <c r="CI13" s="33">
        <f t="shared" si="73"/>
        <v>4.5934071261443665E-2</v>
      </c>
      <c r="CJ13" s="53">
        <f t="shared" si="74"/>
        <v>312285.6388486806</v>
      </c>
      <c r="CK13" s="128">
        <f t="shared" si="75"/>
        <v>0</v>
      </c>
      <c r="CL13" s="76" t="s">
        <v>8</v>
      </c>
      <c r="CM13" s="30" t="s">
        <v>8</v>
      </c>
      <c r="CN13" s="35">
        <f t="shared" si="76"/>
        <v>0.47923946209902346</v>
      </c>
      <c r="CO13" s="33">
        <f t="shared" si="77"/>
        <v>4.5934071261443665E-2</v>
      </c>
      <c r="CP13" s="53">
        <f t="shared" si="78"/>
        <v>312285.6388486806</v>
      </c>
      <c r="CQ13" s="128">
        <f t="shared" si="79"/>
        <v>0</v>
      </c>
      <c r="CR13" s="76" t="s">
        <v>8</v>
      </c>
      <c r="CS13" s="30" t="s">
        <v>8</v>
      </c>
      <c r="CT13" s="35">
        <f t="shared" si="80"/>
        <v>0.47923946209902346</v>
      </c>
      <c r="CU13" s="33">
        <f t="shared" si="81"/>
        <v>4.5934071261443665E-2</v>
      </c>
      <c r="CV13" s="53">
        <f t="shared" si="82"/>
        <v>312285.6388486806</v>
      </c>
      <c r="CW13" s="128">
        <f t="shared" si="83"/>
        <v>0</v>
      </c>
      <c r="CX13" s="76" t="s">
        <v>8</v>
      </c>
      <c r="CY13" s="30" t="s">
        <v>8</v>
      </c>
      <c r="CZ13" s="35">
        <f t="shared" si="84"/>
        <v>0.47923946209902346</v>
      </c>
      <c r="DA13" s="33">
        <f t="shared" si="85"/>
        <v>4.5934071261443665E-2</v>
      </c>
      <c r="DB13" s="53">
        <f t="shared" si="86"/>
        <v>312285.6388486806</v>
      </c>
      <c r="DC13" s="128">
        <f t="shared" si="87"/>
        <v>0</v>
      </c>
      <c r="DD13" s="76" t="s">
        <v>8</v>
      </c>
      <c r="DE13" s="30" t="s">
        <v>8</v>
      </c>
      <c r="DF13" s="35">
        <f t="shared" si="88"/>
        <v>0.47923946209902346</v>
      </c>
      <c r="DG13" s="33">
        <f t="shared" si="89"/>
        <v>4.5934071261443665E-2</v>
      </c>
      <c r="DH13" s="53">
        <f t="shared" si="90"/>
        <v>312285.6388486806</v>
      </c>
      <c r="DI13" s="128">
        <f t="shared" si="91"/>
        <v>0</v>
      </c>
      <c r="DJ13" s="76" t="s">
        <v>8</v>
      </c>
      <c r="DK13" s="30" t="s">
        <v>8</v>
      </c>
      <c r="DL13" s="35">
        <f t="shared" si="92"/>
        <v>0.47923946209902346</v>
      </c>
      <c r="DM13" s="33">
        <f t="shared" si="93"/>
        <v>4.5934071261443665E-2</v>
      </c>
      <c r="DN13" s="53">
        <f t="shared" si="94"/>
        <v>312285.6388486806</v>
      </c>
      <c r="DO13" s="128">
        <f t="shared" si="95"/>
        <v>0</v>
      </c>
      <c r="DP13" s="76" t="s">
        <v>8</v>
      </c>
      <c r="DQ13" s="30" t="s">
        <v>8</v>
      </c>
      <c r="DR13" s="35">
        <f t="shared" si="96"/>
        <v>0.47923946209902346</v>
      </c>
      <c r="DS13" s="33">
        <f t="shared" si="97"/>
        <v>4.5934071261443665E-2</v>
      </c>
      <c r="DT13" s="53">
        <f t="shared" si="98"/>
        <v>312285.6388486806</v>
      </c>
      <c r="DU13" s="128">
        <f t="shared" si="99"/>
        <v>0</v>
      </c>
      <c r="DV13" s="76" t="s">
        <v>8</v>
      </c>
      <c r="DW13" s="30" t="s">
        <v>8</v>
      </c>
      <c r="DX13" s="35">
        <f t="shared" si="100"/>
        <v>0.47923946209902346</v>
      </c>
      <c r="DY13" s="33">
        <f t="shared" si="101"/>
        <v>4.5934071261443665E-2</v>
      </c>
      <c r="DZ13" s="34">
        <f t="shared" si="102"/>
        <v>312285.6388486806</v>
      </c>
      <c r="EA13" s="80">
        <f t="shared" si="103"/>
        <v>0</v>
      </c>
      <c r="EB13" s="76" t="s">
        <v>8</v>
      </c>
      <c r="EC13" s="30" t="s">
        <v>8</v>
      </c>
      <c r="ED13" s="35">
        <f t="shared" si="104"/>
        <v>0.47923946209902346</v>
      </c>
      <c r="EE13" s="33">
        <f t="shared" si="105"/>
        <v>4.5934071261443665E-2</v>
      </c>
      <c r="EF13" s="34">
        <f t="shared" si="106"/>
        <v>312285.6388486806</v>
      </c>
      <c r="EG13" s="80">
        <f t="shared" si="107"/>
        <v>0</v>
      </c>
      <c r="EH13" s="76" t="s">
        <v>8</v>
      </c>
      <c r="EI13" s="30" t="s">
        <v>8</v>
      </c>
      <c r="EJ13" s="35">
        <f t="shared" si="108"/>
        <v>0.47923946209902346</v>
      </c>
      <c r="EK13" s="33">
        <f t="shared" si="109"/>
        <v>4.5934071261443665E-2</v>
      </c>
      <c r="EL13" s="34">
        <f t="shared" si="110"/>
        <v>312285.6388486806</v>
      </c>
      <c r="EM13" s="80">
        <f t="shared" si="111"/>
        <v>0</v>
      </c>
      <c r="EN13" s="76" t="s">
        <v>8</v>
      </c>
      <c r="EO13" s="30" t="s">
        <v>8</v>
      </c>
      <c r="EP13" s="35">
        <f t="shared" si="112"/>
        <v>0.47923946209902346</v>
      </c>
      <c r="EQ13" s="33">
        <f t="shared" si="113"/>
        <v>4.5934071261443665E-2</v>
      </c>
      <c r="ER13" s="34">
        <f t="shared" si="114"/>
        <v>312285.6388486806</v>
      </c>
      <c r="ES13" s="80">
        <f t="shared" si="115"/>
        <v>0</v>
      </c>
      <c r="ET13" s="76" t="s">
        <v>8</v>
      </c>
      <c r="EU13" s="30" t="s">
        <v>8</v>
      </c>
      <c r="EV13" s="35">
        <f t="shared" si="116"/>
        <v>0.47923946209902346</v>
      </c>
      <c r="EW13" s="33">
        <f t="shared" si="117"/>
        <v>4.5934071261443665E-2</v>
      </c>
      <c r="EX13" s="34">
        <f t="shared" si="118"/>
        <v>312285.6388486806</v>
      </c>
      <c r="EY13" s="80">
        <f t="shared" si="119"/>
        <v>0</v>
      </c>
      <c r="EZ13" s="76" t="s">
        <v>8</v>
      </c>
      <c r="FA13" s="30" t="s">
        <v>8</v>
      </c>
      <c r="FB13" s="35">
        <f t="shared" si="120"/>
        <v>0.47923946209902346</v>
      </c>
      <c r="FC13" s="33">
        <f t="shared" si="121"/>
        <v>4.5934071261443665E-2</v>
      </c>
      <c r="FD13" s="34">
        <f t="shared" si="122"/>
        <v>312285.6388486806</v>
      </c>
      <c r="FE13" s="80">
        <f t="shared" si="123"/>
        <v>0</v>
      </c>
      <c r="FF13" s="76" t="s">
        <v>8</v>
      </c>
      <c r="FG13" s="30" t="s">
        <v>8</v>
      </c>
      <c r="FH13" s="35">
        <f t="shared" si="124"/>
        <v>0.47923946209902346</v>
      </c>
      <c r="FI13" s="33">
        <f t="shared" si="125"/>
        <v>4.5934071261443665E-2</v>
      </c>
      <c r="FJ13" s="34">
        <f t="shared" si="126"/>
        <v>312285.6388486806</v>
      </c>
      <c r="FK13" s="80">
        <f t="shared" si="127"/>
        <v>0</v>
      </c>
      <c r="FL13" s="76" t="s">
        <v>8</v>
      </c>
      <c r="FM13" s="30" t="s">
        <v>8</v>
      </c>
      <c r="FN13" s="35">
        <f t="shared" si="128"/>
        <v>0.47923946209902346</v>
      </c>
      <c r="FO13" s="33">
        <f t="shared" si="129"/>
        <v>4.5934071261443665E-2</v>
      </c>
      <c r="FP13" s="34">
        <f t="shared" si="130"/>
        <v>312285.6388486806</v>
      </c>
      <c r="FQ13" s="80">
        <f t="shared" si="131"/>
        <v>0</v>
      </c>
      <c r="FR13" s="76" t="s">
        <v>8</v>
      </c>
      <c r="FS13" s="30" t="s">
        <v>8</v>
      </c>
      <c r="FT13" s="35">
        <f t="shared" si="132"/>
        <v>0.47923946209902346</v>
      </c>
      <c r="FU13" s="33">
        <f t="shared" si="133"/>
        <v>4.5934071261443665E-2</v>
      </c>
      <c r="FV13" s="34">
        <f t="shared" si="134"/>
        <v>312285.6388486806</v>
      </c>
      <c r="FW13" s="80">
        <f t="shared" si="135"/>
        <v>0</v>
      </c>
      <c r="FX13" s="76" t="s">
        <v>8</v>
      </c>
      <c r="FY13" s="30" t="s">
        <v>8</v>
      </c>
      <c r="FZ13" s="35">
        <f t="shared" si="136"/>
        <v>0.47923946209902346</v>
      </c>
      <c r="GA13" s="33">
        <f t="shared" si="137"/>
        <v>4.5934071261443665E-2</v>
      </c>
      <c r="GB13" s="34">
        <f t="shared" si="138"/>
        <v>312285.6388486806</v>
      </c>
      <c r="GC13" s="80">
        <f t="shared" si="139"/>
        <v>0</v>
      </c>
      <c r="GD13" s="76" t="s">
        <v>8</v>
      </c>
      <c r="GE13" s="30" t="s">
        <v>8</v>
      </c>
      <c r="GF13" s="35">
        <f t="shared" si="140"/>
        <v>0.47923946209902346</v>
      </c>
      <c r="GG13" s="33">
        <f t="shared" si="141"/>
        <v>4.5934071261443665E-2</v>
      </c>
      <c r="GH13" s="34">
        <f t="shared" si="142"/>
        <v>312285.6388486806</v>
      </c>
      <c r="GI13" s="128">
        <f t="shared" si="143"/>
        <v>0</v>
      </c>
      <c r="GJ13" s="176">
        <f t="shared" si="146"/>
        <v>1229118.2799128403</v>
      </c>
      <c r="GK13" s="99">
        <f t="shared" si="144"/>
        <v>1265779.5577184935</v>
      </c>
      <c r="GL13" s="217">
        <f t="shared" si="145"/>
        <v>0.47923946209902352</v>
      </c>
      <c r="GM13" s="231">
        <f t="shared" si="147"/>
        <v>1265779.56</v>
      </c>
      <c r="GN13" s="234"/>
    </row>
    <row r="14" spans="1:196" ht="15.75" x14ac:dyDescent="0.25">
      <c r="A14" s="161" t="s">
        <v>179</v>
      </c>
      <c r="B14" s="164" t="s">
        <v>8</v>
      </c>
      <c r="C14" s="164" t="s">
        <v>8</v>
      </c>
      <c r="D14" s="164" t="s">
        <v>8</v>
      </c>
      <c r="E14" s="164" t="s">
        <v>8</v>
      </c>
      <c r="F14" s="164" t="s">
        <v>8</v>
      </c>
      <c r="G14" s="108">
        <f>'Исходные данные'!C16</f>
        <v>77</v>
      </c>
      <c r="H14" s="31">
        <f>'Исходные данные'!F16</f>
        <v>48524.259231766278</v>
      </c>
      <c r="I14" s="32">
        <f>'Расчет КРП'!G12</f>
        <v>24.37832677000419</v>
      </c>
      <c r="J14" s="115" t="s">
        <v>8</v>
      </c>
      <c r="K14" s="119">
        <f t="shared" si="22"/>
        <v>1.9023576546420565E-2</v>
      </c>
      <c r="L14" s="77">
        <f t="shared" si="23"/>
        <v>14114.591955176451</v>
      </c>
      <c r="M14" s="73">
        <f t="shared" si="24"/>
        <v>2.4557097814582693E-2</v>
      </c>
      <c r="N14" s="30" t="s">
        <v>8</v>
      </c>
      <c r="O14" s="33">
        <f t="shared" si="25"/>
        <v>0.12840810326808333</v>
      </c>
      <c r="P14" s="34">
        <f t="shared" si="26"/>
        <v>371720.06264784542</v>
      </c>
      <c r="Q14" s="80">
        <f t="shared" si="27"/>
        <v>371720.06264784542</v>
      </c>
      <c r="R14" s="169" t="s">
        <v>8</v>
      </c>
      <c r="S14" s="30" t="s">
        <v>8</v>
      </c>
      <c r="T14" s="35">
        <f t="shared" si="28"/>
        <v>0.17028719607010087</v>
      </c>
      <c r="U14" s="33">
        <f t="shared" si="29"/>
        <v>8.4192428711607675E-2</v>
      </c>
      <c r="V14" s="53">
        <f t="shared" si="30"/>
        <v>312717.4006577906</v>
      </c>
      <c r="W14" s="80">
        <f t="shared" si="31"/>
        <v>312717.4006577906</v>
      </c>
      <c r="X14" s="76" t="s">
        <v>8</v>
      </c>
      <c r="Y14" s="30" t="s">
        <v>8</v>
      </c>
      <c r="Z14" s="35">
        <f t="shared" si="32"/>
        <v>0.2928857375624489</v>
      </c>
      <c r="AA14" s="33">
        <f t="shared" si="33"/>
        <v>7.213588199635107E-2</v>
      </c>
      <c r="AB14" s="53">
        <f t="shared" si="34"/>
        <v>335315.28202265577</v>
      </c>
      <c r="AC14" s="80">
        <f t="shared" si="35"/>
        <v>335315.28202265577</v>
      </c>
      <c r="AD14" s="76" t="s">
        <v>8</v>
      </c>
      <c r="AE14" s="30" t="s">
        <v>8</v>
      </c>
      <c r="AF14" s="35">
        <f t="shared" si="36"/>
        <v>0.42434361112369351</v>
      </c>
      <c r="AG14" s="33">
        <f t="shared" si="37"/>
        <v>5.2159101972024946E-2</v>
      </c>
      <c r="AH14" s="53">
        <f t="shared" si="38"/>
        <v>291118.29453612585</v>
      </c>
      <c r="AI14" s="80">
        <f t="shared" si="39"/>
        <v>139827.73105955558</v>
      </c>
      <c r="AJ14" s="76" t="s">
        <v>8</v>
      </c>
      <c r="AK14" s="30" t="s">
        <v>8</v>
      </c>
      <c r="AL14" s="35">
        <f t="shared" si="40"/>
        <v>0.47916203776713195</v>
      </c>
      <c r="AM14" s="33">
        <f t="shared" si="41"/>
        <v>4.6011495593335172E-2</v>
      </c>
      <c r="AN14" s="53">
        <f t="shared" si="42"/>
        <v>275684.52849957917</v>
      </c>
      <c r="AO14" s="80">
        <f t="shared" si="43"/>
        <v>0</v>
      </c>
      <c r="AP14" s="76" t="s">
        <v>8</v>
      </c>
      <c r="AQ14" s="30" t="s">
        <v>8</v>
      </c>
      <c r="AR14" s="35">
        <f t="shared" si="44"/>
        <v>0.47916203776713195</v>
      </c>
      <c r="AS14" s="33">
        <f t="shared" si="45"/>
        <v>4.6011495593335172E-2</v>
      </c>
      <c r="AT14" s="53">
        <f t="shared" si="46"/>
        <v>275684.52849957917</v>
      </c>
      <c r="AU14" s="80">
        <f t="shared" si="47"/>
        <v>0</v>
      </c>
      <c r="AV14" s="76" t="s">
        <v>8</v>
      </c>
      <c r="AW14" s="30" t="s">
        <v>8</v>
      </c>
      <c r="AX14" s="35">
        <f t="shared" si="48"/>
        <v>0.47916203776713195</v>
      </c>
      <c r="AY14" s="33">
        <f t="shared" si="49"/>
        <v>4.6011495593335172E-2</v>
      </c>
      <c r="AZ14" s="53">
        <f t="shared" si="50"/>
        <v>275684.52849957917</v>
      </c>
      <c r="BA14" s="80">
        <f t="shared" si="51"/>
        <v>0</v>
      </c>
      <c r="BB14" s="76" t="s">
        <v>8</v>
      </c>
      <c r="BC14" s="30" t="s">
        <v>8</v>
      </c>
      <c r="BD14" s="35">
        <f t="shared" si="52"/>
        <v>0.47916203776713195</v>
      </c>
      <c r="BE14" s="33">
        <f t="shared" si="53"/>
        <v>4.6011495593335172E-2</v>
      </c>
      <c r="BF14" s="53">
        <f t="shared" si="54"/>
        <v>275684.52849957917</v>
      </c>
      <c r="BG14" s="80">
        <f t="shared" si="55"/>
        <v>0</v>
      </c>
      <c r="BH14" s="76" t="s">
        <v>8</v>
      </c>
      <c r="BI14" s="30" t="s">
        <v>8</v>
      </c>
      <c r="BJ14" s="35">
        <f t="shared" si="56"/>
        <v>0.47916203776713195</v>
      </c>
      <c r="BK14" s="33">
        <f t="shared" si="57"/>
        <v>4.6011495593335172E-2</v>
      </c>
      <c r="BL14" s="53">
        <f t="shared" si="58"/>
        <v>275684.52849957917</v>
      </c>
      <c r="BM14" s="80">
        <f t="shared" si="59"/>
        <v>0</v>
      </c>
      <c r="BN14" s="76" t="s">
        <v>8</v>
      </c>
      <c r="BO14" s="30" t="s">
        <v>8</v>
      </c>
      <c r="BP14" s="35">
        <f t="shared" si="60"/>
        <v>0.47916203776713195</v>
      </c>
      <c r="BQ14" s="33">
        <f t="shared" si="61"/>
        <v>4.6011495593335172E-2</v>
      </c>
      <c r="BR14" s="53">
        <f t="shared" si="62"/>
        <v>275684.52849957917</v>
      </c>
      <c r="BS14" s="128">
        <f t="shared" si="63"/>
        <v>0</v>
      </c>
      <c r="BT14" s="76" t="s">
        <v>8</v>
      </c>
      <c r="BU14" s="30" t="s">
        <v>8</v>
      </c>
      <c r="BV14" s="35">
        <f t="shared" si="64"/>
        <v>0.47916203776713195</v>
      </c>
      <c r="BW14" s="33">
        <f t="shared" si="65"/>
        <v>4.6011495593335172E-2</v>
      </c>
      <c r="BX14" s="53">
        <f t="shared" si="66"/>
        <v>275684.52849957917</v>
      </c>
      <c r="BY14" s="128">
        <f t="shared" si="67"/>
        <v>0</v>
      </c>
      <c r="BZ14" s="76" t="s">
        <v>8</v>
      </c>
      <c r="CA14" s="30" t="s">
        <v>8</v>
      </c>
      <c r="CB14" s="35">
        <f t="shared" si="68"/>
        <v>0.47916203776713195</v>
      </c>
      <c r="CC14" s="33">
        <f t="shared" si="69"/>
        <v>4.6011495593335172E-2</v>
      </c>
      <c r="CD14" s="53">
        <f t="shared" si="70"/>
        <v>275684.52849957917</v>
      </c>
      <c r="CE14" s="128">
        <f t="shared" si="71"/>
        <v>0</v>
      </c>
      <c r="CF14" s="76" t="s">
        <v>8</v>
      </c>
      <c r="CG14" s="30" t="s">
        <v>8</v>
      </c>
      <c r="CH14" s="35">
        <f t="shared" si="72"/>
        <v>0.47916203776713195</v>
      </c>
      <c r="CI14" s="33">
        <f t="shared" si="73"/>
        <v>4.6011495593335172E-2</v>
      </c>
      <c r="CJ14" s="53">
        <f t="shared" si="74"/>
        <v>275684.52849957917</v>
      </c>
      <c r="CK14" s="128">
        <f t="shared" si="75"/>
        <v>0</v>
      </c>
      <c r="CL14" s="76" t="s">
        <v>8</v>
      </c>
      <c r="CM14" s="30" t="s">
        <v>8</v>
      </c>
      <c r="CN14" s="35">
        <f t="shared" si="76"/>
        <v>0.47916203776713195</v>
      </c>
      <c r="CO14" s="33">
        <f t="shared" si="77"/>
        <v>4.6011495593335172E-2</v>
      </c>
      <c r="CP14" s="53">
        <f t="shared" si="78"/>
        <v>275684.52849957917</v>
      </c>
      <c r="CQ14" s="128">
        <f t="shared" si="79"/>
        <v>0</v>
      </c>
      <c r="CR14" s="76" t="s">
        <v>8</v>
      </c>
      <c r="CS14" s="30" t="s">
        <v>8</v>
      </c>
      <c r="CT14" s="35">
        <f t="shared" si="80"/>
        <v>0.47916203776713195</v>
      </c>
      <c r="CU14" s="33">
        <f t="shared" si="81"/>
        <v>4.6011495593335172E-2</v>
      </c>
      <c r="CV14" s="53">
        <f t="shared" si="82"/>
        <v>275684.52849957917</v>
      </c>
      <c r="CW14" s="128">
        <f t="shared" si="83"/>
        <v>0</v>
      </c>
      <c r="CX14" s="76" t="s">
        <v>8</v>
      </c>
      <c r="CY14" s="30" t="s">
        <v>8</v>
      </c>
      <c r="CZ14" s="35">
        <f t="shared" si="84"/>
        <v>0.47916203776713195</v>
      </c>
      <c r="DA14" s="33">
        <f t="shared" si="85"/>
        <v>4.6011495593335172E-2</v>
      </c>
      <c r="DB14" s="53">
        <f t="shared" si="86"/>
        <v>275684.52849957917</v>
      </c>
      <c r="DC14" s="128">
        <f t="shared" si="87"/>
        <v>0</v>
      </c>
      <c r="DD14" s="76" t="s">
        <v>8</v>
      </c>
      <c r="DE14" s="30" t="s">
        <v>8</v>
      </c>
      <c r="DF14" s="35">
        <f t="shared" si="88"/>
        <v>0.47916203776713195</v>
      </c>
      <c r="DG14" s="33">
        <f t="shared" si="89"/>
        <v>4.6011495593335172E-2</v>
      </c>
      <c r="DH14" s="53">
        <f t="shared" si="90"/>
        <v>275684.52849957917</v>
      </c>
      <c r="DI14" s="128">
        <f t="shared" si="91"/>
        <v>0</v>
      </c>
      <c r="DJ14" s="76" t="s">
        <v>8</v>
      </c>
      <c r="DK14" s="30" t="s">
        <v>8</v>
      </c>
      <c r="DL14" s="35">
        <f t="shared" si="92"/>
        <v>0.47916203776713195</v>
      </c>
      <c r="DM14" s="33">
        <f t="shared" si="93"/>
        <v>4.6011495593335172E-2</v>
      </c>
      <c r="DN14" s="53">
        <f t="shared" si="94"/>
        <v>275684.52849957917</v>
      </c>
      <c r="DO14" s="128">
        <f t="shared" si="95"/>
        <v>0</v>
      </c>
      <c r="DP14" s="76" t="s">
        <v>8</v>
      </c>
      <c r="DQ14" s="30" t="s">
        <v>8</v>
      </c>
      <c r="DR14" s="35">
        <f t="shared" si="96"/>
        <v>0.47916203776713195</v>
      </c>
      <c r="DS14" s="33">
        <f t="shared" si="97"/>
        <v>4.6011495593335172E-2</v>
      </c>
      <c r="DT14" s="53">
        <f t="shared" si="98"/>
        <v>275684.52849957917</v>
      </c>
      <c r="DU14" s="128">
        <f t="shared" si="99"/>
        <v>0</v>
      </c>
      <c r="DV14" s="76" t="s">
        <v>8</v>
      </c>
      <c r="DW14" s="30" t="s">
        <v>8</v>
      </c>
      <c r="DX14" s="35">
        <f t="shared" si="100"/>
        <v>0.47916203776713195</v>
      </c>
      <c r="DY14" s="33">
        <f t="shared" si="101"/>
        <v>4.6011495593335172E-2</v>
      </c>
      <c r="DZ14" s="34">
        <f t="shared" si="102"/>
        <v>275684.52849957917</v>
      </c>
      <c r="EA14" s="80">
        <f t="shared" si="103"/>
        <v>0</v>
      </c>
      <c r="EB14" s="76" t="s">
        <v>8</v>
      </c>
      <c r="EC14" s="30" t="s">
        <v>8</v>
      </c>
      <c r="ED14" s="35">
        <f t="shared" si="104"/>
        <v>0.47916203776713195</v>
      </c>
      <c r="EE14" s="33">
        <f t="shared" si="105"/>
        <v>4.6011495593335172E-2</v>
      </c>
      <c r="EF14" s="34">
        <f t="shared" si="106"/>
        <v>275684.52849957917</v>
      </c>
      <c r="EG14" s="80">
        <f t="shared" si="107"/>
        <v>0</v>
      </c>
      <c r="EH14" s="76" t="s">
        <v>8</v>
      </c>
      <c r="EI14" s="30" t="s">
        <v>8</v>
      </c>
      <c r="EJ14" s="35">
        <f t="shared" si="108"/>
        <v>0.47916203776713195</v>
      </c>
      <c r="EK14" s="33">
        <f t="shared" si="109"/>
        <v>4.6011495593335172E-2</v>
      </c>
      <c r="EL14" s="34">
        <f t="shared" si="110"/>
        <v>275684.52849957917</v>
      </c>
      <c r="EM14" s="80">
        <f t="shared" si="111"/>
        <v>0</v>
      </c>
      <c r="EN14" s="76" t="s">
        <v>8</v>
      </c>
      <c r="EO14" s="30" t="s">
        <v>8</v>
      </c>
      <c r="EP14" s="35">
        <f t="shared" si="112"/>
        <v>0.47916203776713195</v>
      </c>
      <c r="EQ14" s="33">
        <f t="shared" si="113"/>
        <v>4.6011495593335172E-2</v>
      </c>
      <c r="ER14" s="34">
        <f t="shared" si="114"/>
        <v>275684.52849957917</v>
      </c>
      <c r="ES14" s="80">
        <f t="shared" si="115"/>
        <v>0</v>
      </c>
      <c r="ET14" s="76" t="s">
        <v>8</v>
      </c>
      <c r="EU14" s="30" t="s">
        <v>8</v>
      </c>
      <c r="EV14" s="35">
        <f t="shared" si="116"/>
        <v>0.47916203776713195</v>
      </c>
      <c r="EW14" s="33">
        <f t="shared" si="117"/>
        <v>4.6011495593335172E-2</v>
      </c>
      <c r="EX14" s="34">
        <f t="shared" si="118"/>
        <v>275684.52849957917</v>
      </c>
      <c r="EY14" s="80">
        <f t="shared" si="119"/>
        <v>0</v>
      </c>
      <c r="EZ14" s="76" t="s">
        <v>8</v>
      </c>
      <c r="FA14" s="30" t="s">
        <v>8</v>
      </c>
      <c r="FB14" s="35">
        <f t="shared" si="120"/>
        <v>0.47916203776713195</v>
      </c>
      <c r="FC14" s="33">
        <f t="shared" si="121"/>
        <v>4.6011495593335172E-2</v>
      </c>
      <c r="FD14" s="34">
        <f t="shared" si="122"/>
        <v>275684.52849957917</v>
      </c>
      <c r="FE14" s="80">
        <f t="shared" si="123"/>
        <v>0</v>
      </c>
      <c r="FF14" s="76" t="s">
        <v>8</v>
      </c>
      <c r="FG14" s="30" t="s">
        <v>8</v>
      </c>
      <c r="FH14" s="35">
        <f t="shared" si="124"/>
        <v>0.47916203776713195</v>
      </c>
      <c r="FI14" s="33">
        <f t="shared" si="125"/>
        <v>4.6011495593335172E-2</v>
      </c>
      <c r="FJ14" s="34">
        <f t="shared" si="126"/>
        <v>275684.52849957917</v>
      </c>
      <c r="FK14" s="80">
        <f t="shared" si="127"/>
        <v>0</v>
      </c>
      <c r="FL14" s="76" t="s">
        <v>8</v>
      </c>
      <c r="FM14" s="30" t="s">
        <v>8</v>
      </c>
      <c r="FN14" s="35">
        <f t="shared" si="128"/>
        <v>0.47916203776713195</v>
      </c>
      <c r="FO14" s="33">
        <f t="shared" si="129"/>
        <v>4.6011495593335172E-2</v>
      </c>
      <c r="FP14" s="34">
        <f t="shared" si="130"/>
        <v>275684.52849957917</v>
      </c>
      <c r="FQ14" s="80">
        <f t="shared" si="131"/>
        <v>0</v>
      </c>
      <c r="FR14" s="76" t="s">
        <v>8</v>
      </c>
      <c r="FS14" s="30" t="s">
        <v>8</v>
      </c>
      <c r="FT14" s="35">
        <f t="shared" si="132"/>
        <v>0.47916203776713195</v>
      </c>
      <c r="FU14" s="33">
        <f t="shared" si="133"/>
        <v>4.6011495593335172E-2</v>
      </c>
      <c r="FV14" s="34">
        <f t="shared" si="134"/>
        <v>275684.52849957917</v>
      </c>
      <c r="FW14" s="80">
        <f t="shared" si="135"/>
        <v>0</v>
      </c>
      <c r="FX14" s="76" t="s">
        <v>8</v>
      </c>
      <c r="FY14" s="30" t="s">
        <v>8</v>
      </c>
      <c r="FZ14" s="35">
        <f t="shared" si="136"/>
        <v>0.47916203776713195</v>
      </c>
      <c r="GA14" s="33">
        <f t="shared" si="137"/>
        <v>4.6011495593335172E-2</v>
      </c>
      <c r="GB14" s="34">
        <f t="shared" si="138"/>
        <v>275684.52849957917</v>
      </c>
      <c r="GC14" s="80">
        <f t="shared" si="139"/>
        <v>0</v>
      </c>
      <c r="GD14" s="76" t="s">
        <v>8</v>
      </c>
      <c r="GE14" s="30" t="s">
        <v>8</v>
      </c>
      <c r="GF14" s="35">
        <f t="shared" si="140"/>
        <v>0.47916203776713195</v>
      </c>
      <c r="GG14" s="33">
        <f t="shared" si="141"/>
        <v>4.6011495593335172E-2</v>
      </c>
      <c r="GH14" s="34">
        <f t="shared" si="142"/>
        <v>275684.52849957917</v>
      </c>
      <c r="GI14" s="128">
        <f t="shared" si="143"/>
        <v>0</v>
      </c>
      <c r="GJ14" s="176">
        <f t="shared" si="146"/>
        <v>1159580.4763878474</v>
      </c>
      <c r="GK14" s="99">
        <f t="shared" si="144"/>
        <v>1173695.068343024</v>
      </c>
      <c r="GL14" s="217">
        <f t="shared" si="145"/>
        <v>0.47916203776713195</v>
      </c>
      <c r="GM14" s="231">
        <f t="shared" si="147"/>
        <v>1173695.07</v>
      </c>
      <c r="GN14" s="234"/>
    </row>
    <row r="15" spans="1:196" ht="15.75" x14ac:dyDescent="0.25">
      <c r="A15" s="161" t="s">
        <v>180</v>
      </c>
      <c r="B15" s="164" t="s">
        <v>8</v>
      </c>
      <c r="C15" s="164" t="s">
        <v>8</v>
      </c>
      <c r="D15" s="164" t="s">
        <v>8</v>
      </c>
      <c r="E15" s="164" t="s">
        <v>8</v>
      </c>
      <c r="F15" s="164" t="s">
        <v>8</v>
      </c>
      <c r="G15" s="108">
        <f>'Исходные данные'!C17</f>
        <v>165</v>
      </c>
      <c r="H15" s="31">
        <f>'Исходные данные'!F17</f>
        <v>71962.125615439814</v>
      </c>
      <c r="I15" s="32">
        <f>'Расчет КРП'!G13</f>
        <v>10.049854405809244</v>
      </c>
      <c r="J15" s="115" t="s">
        <v>8</v>
      </c>
      <c r="K15" s="119">
        <f t="shared" si="22"/>
        <v>3.1936560669993064E-2</v>
      </c>
      <c r="L15" s="77">
        <f t="shared" si="23"/>
        <v>30245.554189663817</v>
      </c>
      <c r="M15" s="73">
        <f t="shared" si="24"/>
        <v>4.535944066575176E-2</v>
      </c>
      <c r="N15" s="30" t="s">
        <v>8</v>
      </c>
      <c r="O15" s="33">
        <f t="shared" si="25"/>
        <v>0.10760576041691428</v>
      </c>
      <c r="P15" s="34">
        <f t="shared" si="26"/>
        <v>275174.50035791571</v>
      </c>
      <c r="Q15" s="80">
        <f t="shared" si="27"/>
        <v>275174.50035791571</v>
      </c>
      <c r="R15" s="169" t="s">
        <v>8</v>
      </c>
      <c r="S15" s="30" t="s">
        <v>8</v>
      </c>
      <c r="T15" s="35">
        <f t="shared" si="28"/>
        <v>0.16748100183917641</v>
      </c>
      <c r="U15" s="33">
        <f t="shared" si="29"/>
        <v>8.6998622942532133E-2</v>
      </c>
      <c r="V15" s="53">
        <f t="shared" si="30"/>
        <v>285456.859269929</v>
      </c>
      <c r="W15" s="80">
        <f t="shared" si="31"/>
        <v>285456.859269929</v>
      </c>
      <c r="X15" s="76" t="s">
        <v>8</v>
      </c>
      <c r="Y15" s="30" t="s">
        <v>8</v>
      </c>
      <c r="Z15" s="35">
        <f t="shared" si="32"/>
        <v>0.29416584093714448</v>
      </c>
      <c r="AA15" s="33">
        <f t="shared" si="33"/>
        <v>7.0855778621655485E-2</v>
      </c>
      <c r="AB15" s="53">
        <f t="shared" si="34"/>
        <v>290955.36555378971</v>
      </c>
      <c r="AC15" s="80">
        <f t="shared" si="35"/>
        <v>290955.36555378971</v>
      </c>
      <c r="AD15" s="76" t="s">
        <v>8</v>
      </c>
      <c r="AE15" s="30" t="s">
        <v>8</v>
      </c>
      <c r="AF15" s="35">
        <f t="shared" si="36"/>
        <v>0.42329089949815718</v>
      </c>
      <c r="AG15" s="33">
        <f t="shared" si="37"/>
        <v>5.3211813597561275E-2</v>
      </c>
      <c r="AH15" s="53">
        <f t="shared" si="38"/>
        <v>262359.35163593834</v>
      </c>
      <c r="AI15" s="80">
        <f t="shared" si="39"/>
        <v>126014.45374624841</v>
      </c>
      <c r="AJ15" s="76" t="s">
        <v>8</v>
      </c>
      <c r="AK15" s="30" t="s">
        <v>8</v>
      </c>
      <c r="AL15" s="35">
        <f t="shared" si="40"/>
        <v>0.4792157101252022</v>
      </c>
      <c r="AM15" s="33">
        <f t="shared" si="41"/>
        <v>4.5957823235264927E-2</v>
      </c>
      <c r="AN15" s="53">
        <f t="shared" si="42"/>
        <v>243250.97482191885</v>
      </c>
      <c r="AO15" s="80">
        <f t="shared" si="43"/>
        <v>0</v>
      </c>
      <c r="AP15" s="76" t="s">
        <v>8</v>
      </c>
      <c r="AQ15" s="30" t="s">
        <v>8</v>
      </c>
      <c r="AR15" s="35">
        <f t="shared" si="44"/>
        <v>0.4792157101252022</v>
      </c>
      <c r="AS15" s="33">
        <f t="shared" si="45"/>
        <v>4.5957823235264927E-2</v>
      </c>
      <c r="AT15" s="53">
        <f t="shared" si="46"/>
        <v>243250.97482191885</v>
      </c>
      <c r="AU15" s="80">
        <f t="shared" si="47"/>
        <v>0</v>
      </c>
      <c r="AV15" s="76" t="s">
        <v>8</v>
      </c>
      <c r="AW15" s="30" t="s">
        <v>8</v>
      </c>
      <c r="AX15" s="35">
        <f t="shared" si="48"/>
        <v>0.4792157101252022</v>
      </c>
      <c r="AY15" s="33">
        <f t="shared" si="49"/>
        <v>4.5957823235264927E-2</v>
      </c>
      <c r="AZ15" s="53">
        <f t="shared" si="50"/>
        <v>243250.97482191885</v>
      </c>
      <c r="BA15" s="80">
        <f t="shared" si="51"/>
        <v>0</v>
      </c>
      <c r="BB15" s="76" t="s">
        <v>8</v>
      </c>
      <c r="BC15" s="30" t="s">
        <v>8</v>
      </c>
      <c r="BD15" s="35">
        <f t="shared" si="52"/>
        <v>0.4792157101252022</v>
      </c>
      <c r="BE15" s="33">
        <f t="shared" si="53"/>
        <v>4.5957823235264927E-2</v>
      </c>
      <c r="BF15" s="53">
        <f t="shared" si="54"/>
        <v>243250.97482191885</v>
      </c>
      <c r="BG15" s="80">
        <f t="shared" si="55"/>
        <v>0</v>
      </c>
      <c r="BH15" s="76" t="s">
        <v>8</v>
      </c>
      <c r="BI15" s="30" t="s">
        <v>8</v>
      </c>
      <c r="BJ15" s="35">
        <f t="shared" si="56"/>
        <v>0.4792157101252022</v>
      </c>
      <c r="BK15" s="33">
        <f t="shared" si="57"/>
        <v>4.5957823235264927E-2</v>
      </c>
      <c r="BL15" s="53">
        <f t="shared" si="58"/>
        <v>243250.97482191885</v>
      </c>
      <c r="BM15" s="80">
        <f t="shared" si="59"/>
        <v>0</v>
      </c>
      <c r="BN15" s="76" t="s">
        <v>8</v>
      </c>
      <c r="BO15" s="30" t="s">
        <v>8</v>
      </c>
      <c r="BP15" s="35">
        <f t="shared" si="60"/>
        <v>0.4792157101252022</v>
      </c>
      <c r="BQ15" s="33">
        <f t="shared" si="61"/>
        <v>4.5957823235264927E-2</v>
      </c>
      <c r="BR15" s="53">
        <f t="shared" si="62"/>
        <v>243250.97482191885</v>
      </c>
      <c r="BS15" s="128">
        <f t="shared" si="63"/>
        <v>0</v>
      </c>
      <c r="BT15" s="76" t="s">
        <v>8</v>
      </c>
      <c r="BU15" s="30" t="s">
        <v>8</v>
      </c>
      <c r="BV15" s="35">
        <f t="shared" si="64"/>
        <v>0.4792157101252022</v>
      </c>
      <c r="BW15" s="33">
        <f t="shared" si="65"/>
        <v>4.5957823235264927E-2</v>
      </c>
      <c r="BX15" s="53">
        <f t="shared" si="66"/>
        <v>243250.97482191885</v>
      </c>
      <c r="BY15" s="128">
        <f t="shared" si="67"/>
        <v>0</v>
      </c>
      <c r="BZ15" s="76" t="s">
        <v>8</v>
      </c>
      <c r="CA15" s="30" t="s">
        <v>8</v>
      </c>
      <c r="CB15" s="35">
        <f t="shared" si="68"/>
        <v>0.4792157101252022</v>
      </c>
      <c r="CC15" s="33">
        <f t="shared" si="69"/>
        <v>4.5957823235264927E-2</v>
      </c>
      <c r="CD15" s="53">
        <f t="shared" si="70"/>
        <v>243250.97482191885</v>
      </c>
      <c r="CE15" s="128">
        <f t="shared" si="71"/>
        <v>0</v>
      </c>
      <c r="CF15" s="76" t="s">
        <v>8</v>
      </c>
      <c r="CG15" s="30" t="s">
        <v>8</v>
      </c>
      <c r="CH15" s="35">
        <f t="shared" si="72"/>
        <v>0.4792157101252022</v>
      </c>
      <c r="CI15" s="33">
        <f t="shared" si="73"/>
        <v>4.5957823235264927E-2</v>
      </c>
      <c r="CJ15" s="53">
        <f t="shared" si="74"/>
        <v>243250.97482191885</v>
      </c>
      <c r="CK15" s="128">
        <f t="shared" si="75"/>
        <v>0</v>
      </c>
      <c r="CL15" s="76" t="s">
        <v>8</v>
      </c>
      <c r="CM15" s="30" t="s">
        <v>8</v>
      </c>
      <c r="CN15" s="35">
        <f t="shared" si="76"/>
        <v>0.4792157101252022</v>
      </c>
      <c r="CO15" s="33">
        <f t="shared" si="77"/>
        <v>4.5957823235264927E-2</v>
      </c>
      <c r="CP15" s="53">
        <f t="shared" si="78"/>
        <v>243250.97482191885</v>
      </c>
      <c r="CQ15" s="128">
        <f t="shared" si="79"/>
        <v>0</v>
      </c>
      <c r="CR15" s="76" t="s">
        <v>8</v>
      </c>
      <c r="CS15" s="30" t="s">
        <v>8</v>
      </c>
      <c r="CT15" s="35">
        <f t="shared" si="80"/>
        <v>0.4792157101252022</v>
      </c>
      <c r="CU15" s="33">
        <f t="shared" si="81"/>
        <v>4.5957823235264927E-2</v>
      </c>
      <c r="CV15" s="53">
        <f t="shared" si="82"/>
        <v>243250.97482191885</v>
      </c>
      <c r="CW15" s="128">
        <f t="shared" si="83"/>
        <v>0</v>
      </c>
      <c r="CX15" s="76" t="s">
        <v>8</v>
      </c>
      <c r="CY15" s="30" t="s">
        <v>8</v>
      </c>
      <c r="CZ15" s="35">
        <f t="shared" si="84"/>
        <v>0.4792157101252022</v>
      </c>
      <c r="DA15" s="33">
        <f t="shared" si="85"/>
        <v>4.5957823235264927E-2</v>
      </c>
      <c r="DB15" s="53">
        <f t="shared" si="86"/>
        <v>243250.97482191885</v>
      </c>
      <c r="DC15" s="128">
        <f t="shared" si="87"/>
        <v>0</v>
      </c>
      <c r="DD15" s="76" t="s">
        <v>8</v>
      </c>
      <c r="DE15" s="30" t="s">
        <v>8</v>
      </c>
      <c r="DF15" s="35">
        <f t="shared" si="88"/>
        <v>0.4792157101252022</v>
      </c>
      <c r="DG15" s="33">
        <f t="shared" si="89"/>
        <v>4.5957823235264927E-2</v>
      </c>
      <c r="DH15" s="53">
        <f t="shared" si="90"/>
        <v>243250.97482191885</v>
      </c>
      <c r="DI15" s="128">
        <f t="shared" si="91"/>
        <v>0</v>
      </c>
      <c r="DJ15" s="76" t="s">
        <v>8</v>
      </c>
      <c r="DK15" s="30" t="s">
        <v>8</v>
      </c>
      <c r="DL15" s="35">
        <f t="shared" si="92"/>
        <v>0.4792157101252022</v>
      </c>
      <c r="DM15" s="33">
        <f t="shared" si="93"/>
        <v>4.5957823235264927E-2</v>
      </c>
      <c r="DN15" s="53">
        <f t="shared" si="94"/>
        <v>243250.97482191885</v>
      </c>
      <c r="DO15" s="128">
        <f t="shared" si="95"/>
        <v>0</v>
      </c>
      <c r="DP15" s="76" t="s">
        <v>8</v>
      </c>
      <c r="DQ15" s="30" t="s">
        <v>8</v>
      </c>
      <c r="DR15" s="35">
        <f t="shared" si="96"/>
        <v>0.4792157101252022</v>
      </c>
      <c r="DS15" s="33">
        <f t="shared" si="97"/>
        <v>4.5957823235264927E-2</v>
      </c>
      <c r="DT15" s="53">
        <f t="shared" si="98"/>
        <v>243250.97482191885</v>
      </c>
      <c r="DU15" s="128">
        <f t="shared" si="99"/>
        <v>0</v>
      </c>
      <c r="DV15" s="76" t="s">
        <v>8</v>
      </c>
      <c r="DW15" s="30" t="s">
        <v>8</v>
      </c>
      <c r="DX15" s="35">
        <f t="shared" si="100"/>
        <v>0.4792157101252022</v>
      </c>
      <c r="DY15" s="33">
        <f t="shared" si="101"/>
        <v>4.5957823235264927E-2</v>
      </c>
      <c r="DZ15" s="34">
        <f t="shared" si="102"/>
        <v>243250.97482191885</v>
      </c>
      <c r="EA15" s="80">
        <f t="shared" si="103"/>
        <v>0</v>
      </c>
      <c r="EB15" s="76" t="s">
        <v>8</v>
      </c>
      <c r="EC15" s="30" t="s">
        <v>8</v>
      </c>
      <c r="ED15" s="35">
        <f t="shared" si="104"/>
        <v>0.4792157101252022</v>
      </c>
      <c r="EE15" s="33">
        <f t="shared" si="105"/>
        <v>4.5957823235264927E-2</v>
      </c>
      <c r="EF15" s="34">
        <f t="shared" si="106"/>
        <v>243250.97482191885</v>
      </c>
      <c r="EG15" s="80">
        <f t="shared" si="107"/>
        <v>0</v>
      </c>
      <c r="EH15" s="76" t="s">
        <v>8</v>
      </c>
      <c r="EI15" s="30" t="s">
        <v>8</v>
      </c>
      <c r="EJ15" s="35">
        <f t="shared" si="108"/>
        <v>0.4792157101252022</v>
      </c>
      <c r="EK15" s="33">
        <f t="shared" si="109"/>
        <v>4.5957823235264927E-2</v>
      </c>
      <c r="EL15" s="34">
        <f t="shared" si="110"/>
        <v>243250.97482191885</v>
      </c>
      <c r="EM15" s="80">
        <f t="shared" si="111"/>
        <v>0</v>
      </c>
      <c r="EN15" s="76" t="s">
        <v>8</v>
      </c>
      <c r="EO15" s="30" t="s">
        <v>8</v>
      </c>
      <c r="EP15" s="35">
        <f t="shared" si="112"/>
        <v>0.4792157101252022</v>
      </c>
      <c r="EQ15" s="33">
        <f t="shared" si="113"/>
        <v>4.5957823235264927E-2</v>
      </c>
      <c r="ER15" s="34">
        <f t="shared" si="114"/>
        <v>243250.97482191885</v>
      </c>
      <c r="ES15" s="80">
        <f t="shared" si="115"/>
        <v>0</v>
      </c>
      <c r="ET15" s="76" t="s">
        <v>8</v>
      </c>
      <c r="EU15" s="30" t="s">
        <v>8</v>
      </c>
      <c r="EV15" s="35">
        <f t="shared" si="116"/>
        <v>0.4792157101252022</v>
      </c>
      <c r="EW15" s="33">
        <f t="shared" si="117"/>
        <v>4.5957823235264927E-2</v>
      </c>
      <c r="EX15" s="34">
        <f t="shared" si="118"/>
        <v>243250.97482191885</v>
      </c>
      <c r="EY15" s="80">
        <f t="shared" si="119"/>
        <v>0</v>
      </c>
      <c r="EZ15" s="76" t="s">
        <v>8</v>
      </c>
      <c r="FA15" s="30" t="s">
        <v>8</v>
      </c>
      <c r="FB15" s="35">
        <f t="shared" si="120"/>
        <v>0.4792157101252022</v>
      </c>
      <c r="FC15" s="33">
        <f t="shared" si="121"/>
        <v>4.5957823235264927E-2</v>
      </c>
      <c r="FD15" s="34">
        <f t="shared" si="122"/>
        <v>243250.97482191885</v>
      </c>
      <c r="FE15" s="80">
        <f t="shared" si="123"/>
        <v>0</v>
      </c>
      <c r="FF15" s="76" t="s">
        <v>8</v>
      </c>
      <c r="FG15" s="30" t="s">
        <v>8</v>
      </c>
      <c r="FH15" s="35">
        <f t="shared" si="124"/>
        <v>0.4792157101252022</v>
      </c>
      <c r="FI15" s="33">
        <f t="shared" si="125"/>
        <v>4.5957823235264927E-2</v>
      </c>
      <c r="FJ15" s="34">
        <f t="shared" si="126"/>
        <v>243250.97482191885</v>
      </c>
      <c r="FK15" s="80">
        <f t="shared" si="127"/>
        <v>0</v>
      </c>
      <c r="FL15" s="76" t="s">
        <v>8</v>
      </c>
      <c r="FM15" s="30" t="s">
        <v>8</v>
      </c>
      <c r="FN15" s="35">
        <f t="shared" si="128"/>
        <v>0.4792157101252022</v>
      </c>
      <c r="FO15" s="33">
        <f t="shared" si="129"/>
        <v>4.5957823235264927E-2</v>
      </c>
      <c r="FP15" s="34">
        <f t="shared" si="130"/>
        <v>243250.97482191885</v>
      </c>
      <c r="FQ15" s="80">
        <f t="shared" si="131"/>
        <v>0</v>
      </c>
      <c r="FR15" s="76" t="s">
        <v>8</v>
      </c>
      <c r="FS15" s="30" t="s">
        <v>8</v>
      </c>
      <c r="FT15" s="35">
        <f t="shared" si="132"/>
        <v>0.4792157101252022</v>
      </c>
      <c r="FU15" s="33">
        <f t="shared" si="133"/>
        <v>4.5957823235264927E-2</v>
      </c>
      <c r="FV15" s="34">
        <f t="shared" si="134"/>
        <v>243250.97482191885</v>
      </c>
      <c r="FW15" s="80">
        <f t="shared" si="135"/>
        <v>0</v>
      </c>
      <c r="FX15" s="76" t="s">
        <v>8</v>
      </c>
      <c r="FY15" s="30" t="s">
        <v>8</v>
      </c>
      <c r="FZ15" s="35">
        <f t="shared" si="136"/>
        <v>0.4792157101252022</v>
      </c>
      <c r="GA15" s="33">
        <f t="shared" si="137"/>
        <v>4.5957823235264927E-2</v>
      </c>
      <c r="GB15" s="34">
        <f t="shared" si="138"/>
        <v>243250.97482191885</v>
      </c>
      <c r="GC15" s="80">
        <f t="shared" si="139"/>
        <v>0</v>
      </c>
      <c r="GD15" s="76" t="s">
        <v>8</v>
      </c>
      <c r="GE15" s="30" t="s">
        <v>8</v>
      </c>
      <c r="GF15" s="35">
        <f t="shared" si="140"/>
        <v>0.4792157101252022</v>
      </c>
      <c r="GG15" s="33">
        <f t="shared" si="141"/>
        <v>4.5957823235264927E-2</v>
      </c>
      <c r="GH15" s="34">
        <f t="shared" si="142"/>
        <v>243250.97482191885</v>
      </c>
      <c r="GI15" s="128">
        <f t="shared" si="143"/>
        <v>0</v>
      </c>
      <c r="GJ15" s="176">
        <f t="shared" si="146"/>
        <v>977601.17892788292</v>
      </c>
      <c r="GK15" s="99">
        <f t="shared" si="144"/>
        <v>1007846.7331175468</v>
      </c>
      <c r="GL15" s="217">
        <f t="shared" si="145"/>
        <v>0.47921571012520225</v>
      </c>
      <c r="GM15" s="231">
        <f t="shared" si="147"/>
        <v>1007846.73</v>
      </c>
      <c r="GN15" s="234"/>
    </row>
    <row r="16" spans="1:196" ht="15.75" x14ac:dyDescent="0.25">
      <c r="A16" s="162" t="s">
        <v>181</v>
      </c>
      <c r="B16" s="164" t="s">
        <v>8</v>
      </c>
      <c r="C16" s="164" t="s">
        <v>8</v>
      </c>
      <c r="D16" s="164" t="s">
        <v>8</v>
      </c>
      <c r="E16" s="164" t="s">
        <v>8</v>
      </c>
      <c r="F16" s="164" t="s">
        <v>8</v>
      </c>
      <c r="G16" s="108">
        <f>'Исходные данные'!C18</f>
        <v>541</v>
      </c>
      <c r="H16" s="31">
        <f>'Исходные данные'!F18</f>
        <v>167771.51892862419</v>
      </c>
      <c r="I16" s="32">
        <f>'Расчет КРП'!G14</f>
        <v>6.1882482857313219</v>
      </c>
      <c r="J16" s="115" t="s">
        <v>8</v>
      </c>
      <c r="K16" s="119">
        <f t="shared" si="22"/>
        <v>3.6879168145590842E-2</v>
      </c>
      <c r="L16" s="77">
        <f t="shared" si="23"/>
        <v>99168.756464291684</v>
      </c>
      <c r="M16" s="73">
        <f t="shared" si="24"/>
        <v>5.8678227174147939E-2</v>
      </c>
      <c r="N16" s="30" t="s">
        <v>8</v>
      </c>
      <c r="O16" s="33">
        <f t="shared" si="25"/>
        <v>9.428697390851809E-2</v>
      </c>
      <c r="P16" s="34">
        <f t="shared" si="26"/>
        <v>486794.47922946955</v>
      </c>
      <c r="Q16" s="80">
        <f t="shared" si="27"/>
        <v>486794.47922946955</v>
      </c>
      <c r="R16" s="169" t="s">
        <v>8</v>
      </c>
      <c r="S16" s="30" t="s">
        <v>8</v>
      </c>
      <c r="T16" s="35">
        <f t="shared" si="28"/>
        <v>0.16568432431442942</v>
      </c>
      <c r="U16" s="33">
        <f t="shared" si="29"/>
        <v>8.8795300467279126E-2</v>
      </c>
      <c r="V16" s="53">
        <f t="shared" si="30"/>
        <v>588219.43121593655</v>
      </c>
      <c r="W16" s="80">
        <f t="shared" si="31"/>
        <v>588219.43121593655</v>
      </c>
      <c r="X16" s="76" t="s">
        <v>8</v>
      </c>
      <c r="Y16" s="30" t="s">
        <v>8</v>
      </c>
      <c r="Z16" s="35">
        <f t="shared" si="32"/>
        <v>0.29498543244557351</v>
      </c>
      <c r="AA16" s="33">
        <f t="shared" si="33"/>
        <v>7.0036187113226456E-2</v>
      </c>
      <c r="AB16" s="53">
        <f t="shared" si="34"/>
        <v>580623.84984945774</v>
      </c>
      <c r="AC16" s="80">
        <f t="shared" si="35"/>
        <v>580623.84984945774</v>
      </c>
      <c r="AD16" s="76" t="s">
        <v>8</v>
      </c>
      <c r="AE16" s="30" t="s">
        <v>8</v>
      </c>
      <c r="AF16" s="35">
        <f t="shared" si="36"/>
        <v>0.42261689650264173</v>
      </c>
      <c r="AG16" s="33">
        <f t="shared" si="37"/>
        <v>5.388581659307673E-2</v>
      </c>
      <c r="AH16" s="53">
        <f t="shared" si="38"/>
        <v>536394.4029203268</v>
      </c>
      <c r="AI16" s="80">
        <f t="shared" si="39"/>
        <v>257636.89098586343</v>
      </c>
      <c r="AJ16" s="76" t="s">
        <v>8</v>
      </c>
      <c r="AK16" s="30" t="s">
        <v>8</v>
      </c>
      <c r="AL16" s="35">
        <f t="shared" si="40"/>
        <v>0.47925007407563108</v>
      </c>
      <c r="AM16" s="33">
        <f t="shared" si="41"/>
        <v>4.5923459284836043E-2</v>
      </c>
      <c r="AN16" s="53">
        <f t="shared" si="42"/>
        <v>490739.49850486172</v>
      </c>
      <c r="AO16" s="80">
        <f t="shared" si="43"/>
        <v>0</v>
      </c>
      <c r="AP16" s="76" t="s">
        <v>8</v>
      </c>
      <c r="AQ16" s="30" t="s">
        <v>8</v>
      </c>
      <c r="AR16" s="35">
        <f t="shared" si="44"/>
        <v>0.47925007407563108</v>
      </c>
      <c r="AS16" s="33">
        <f t="shared" si="45"/>
        <v>4.5923459284836043E-2</v>
      </c>
      <c r="AT16" s="53">
        <f t="shared" si="46"/>
        <v>490739.49850486172</v>
      </c>
      <c r="AU16" s="80">
        <f t="shared" si="47"/>
        <v>0</v>
      </c>
      <c r="AV16" s="76" t="s">
        <v>8</v>
      </c>
      <c r="AW16" s="30" t="s">
        <v>8</v>
      </c>
      <c r="AX16" s="35">
        <f t="shared" si="48"/>
        <v>0.47925007407563108</v>
      </c>
      <c r="AY16" s="33">
        <f t="shared" si="49"/>
        <v>4.5923459284836043E-2</v>
      </c>
      <c r="AZ16" s="53">
        <f t="shared" si="50"/>
        <v>490739.49850486172</v>
      </c>
      <c r="BA16" s="80">
        <f t="shared" si="51"/>
        <v>0</v>
      </c>
      <c r="BB16" s="76" t="s">
        <v>8</v>
      </c>
      <c r="BC16" s="30" t="s">
        <v>8</v>
      </c>
      <c r="BD16" s="35">
        <f t="shared" si="52"/>
        <v>0.47925007407563108</v>
      </c>
      <c r="BE16" s="33">
        <f t="shared" si="53"/>
        <v>4.5923459284836043E-2</v>
      </c>
      <c r="BF16" s="53">
        <f t="shared" si="54"/>
        <v>490739.49850486172</v>
      </c>
      <c r="BG16" s="80">
        <f t="shared" si="55"/>
        <v>0</v>
      </c>
      <c r="BH16" s="76" t="s">
        <v>8</v>
      </c>
      <c r="BI16" s="30" t="s">
        <v>8</v>
      </c>
      <c r="BJ16" s="35">
        <f t="shared" si="56"/>
        <v>0.47925007407563108</v>
      </c>
      <c r="BK16" s="33">
        <f t="shared" si="57"/>
        <v>4.5923459284836043E-2</v>
      </c>
      <c r="BL16" s="53">
        <f t="shared" si="58"/>
        <v>490739.49850486172</v>
      </c>
      <c r="BM16" s="80">
        <f t="shared" si="59"/>
        <v>0</v>
      </c>
      <c r="BN16" s="76" t="s">
        <v>8</v>
      </c>
      <c r="BO16" s="30" t="s">
        <v>8</v>
      </c>
      <c r="BP16" s="35">
        <f t="shared" si="60"/>
        <v>0.47925007407563108</v>
      </c>
      <c r="BQ16" s="33">
        <f t="shared" si="61"/>
        <v>4.5923459284836043E-2</v>
      </c>
      <c r="BR16" s="53">
        <f t="shared" si="62"/>
        <v>490739.49850486172</v>
      </c>
      <c r="BS16" s="128">
        <f t="shared" si="63"/>
        <v>0</v>
      </c>
      <c r="BT16" s="76" t="s">
        <v>8</v>
      </c>
      <c r="BU16" s="30" t="s">
        <v>8</v>
      </c>
      <c r="BV16" s="35">
        <f t="shared" si="64"/>
        <v>0.47925007407563108</v>
      </c>
      <c r="BW16" s="33">
        <f t="shared" si="65"/>
        <v>4.5923459284836043E-2</v>
      </c>
      <c r="BX16" s="53">
        <f t="shared" si="66"/>
        <v>490739.49850486172</v>
      </c>
      <c r="BY16" s="128">
        <f t="shared" si="67"/>
        <v>0</v>
      </c>
      <c r="BZ16" s="76" t="s">
        <v>8</v>
      </c>
      <c r="CA16" s="30" t="s">
        <v>8</v>
      </c>
      <c r="CB16" s="35">
        <f t="shared" si="68"/>
        <v>0.47925007407563108</v>
      </c>
      <c r="CC16" s="33">
        <f t="shared" si="69"/>
        <v>4.5923459284836043E-2</v>
      </c>
      <c r="CD16" s="53">
        <f t="shared" si="70"/>
        <v>490739.49850486172</v>
      </c>
      <c r="CE16" s="128">
        <f t="shared" si="71"/>
        <v>0</v>
      </c>
      <c r="CF16" s="76" t="s">
        <v>8</v>
      </c>
      <c r="CG16" s="30" t="s">
        <v>8</v>
      </c>
      <c r="CH16" s="35">
        <f t="shared" si="72"/>
        <v>0.47925007407563108</v>
      </c>
      <c r="CI16" s="33">
        <f t="shared" si="73"/>
        <v>4.5923459284836043E-2</v>
      </c>
      <c r="CJ16" s="53">
        <f t="shared" si="74"/>
        <v>490739.49850486172</v>
      </c>
      <c r="CK16" s="128">
        <f t="shared" si="75"/>
        <v>0</v>
      </c>
      <c r="CL16" s="76" t="s">
        <v>8</v>
      </c>
      <c r="CM16" s="30" t="s">
        <v>8</v>
      </c>
      <c r="CN16" s="35">
        <f t="shared" si="76"/>
        <v>0.47925007407563108</v>
      </c>
      <c r="CO16" s="33">
        <f t="shared" si="77"/>
        <v>4.5923459284836043E-2</v>
      </c>
      <c r="CP16" s="53">
        <f t="shared" si="78"/>
        <v>490739.49850486172</v>
      </c>
      <c r="CQ16" s="128">
        <f t="shared" si="79"/>
        <v>0</v>
      </c>
      <c r="CR16" s="76" t="s">
        <v>8</v>
      </c>
      <c r="CS16" s="30" t="s">
        <v>8</v>
      </c>
      <c r="CT16" s="35">
        <f t="shared" si="80"/>
        <v>0.47925007407563108</v>
      </c>
      <c r="CU16" s="33">
        <f t="shared" si="81"/>
        <v>4.5923459284836043E-2</v>
      </c>
      <c r="CV16" s="53">
        <f t="shared" si="82"/>
        <v>490739.49850486172</v>
      </c>
      <c r="CW16" s="128">
        <f t="shared" si="83"/>
        <v>0</v>
      </c>
      <c r="CX16" s="76" t="s">
        <v>8</v>
      </c>
      <c r="CY16" s="30" t="s">
        <v>8</v>
      </c>
      <c r="CZ16" s="35">
        <f t="shared" si="84"/>
        <v>0.47925007407563108</v>
      </c>
      <c r="DA16" s="33">
        <f t="shared" si="85"/>
        <v>4.5923459284836043E-2</v>
      </c>
      <c r="DB16" s="53">
        <f t="shared" si="86"/>
        <v>490739.49850486172</v>
      </c>
      <c r="DC16" s="128">
        <f t="shared" si="87"/>
        <v>0</v>
      </c>
      <c r="DD16" s="76" t="s">
        <v>8</v>
      </c>
      <c r="DE16" s="30" t="s">
        <v>8</v>
      </c>
      <c r="DF16" s="35">
        <f t="shared" si="88"/>
        <v>0.47925007407563108</v>
      </c>
      <c r="DG16" s="33">
        <f t="shared" si="89"/>
        <v>4.5923459284836043E-2</v>
      </c>
      <c r="DH16" s="53">
        <f t="shared" si="90"/>
        <v>490739.49850486172</v>
      </c>
      <c r="DI16" s="128">
        <f t="shared" si="91"/>
        <v>0</v>
      </c>
      <c r="DJ16" s="76" t="s">
        <v>8</v>
      </c>
      <c r="DK16" s="30" t="s">
        <v>8</v>
      </c>
      <c r="DL16" s="35">
        <f t="shared" si="92"/>
        <v>0.47925007407563108</v>
      </c>
      <c r="DM16" s="33">
        <f t="shared" si="93"/>
        <v>4.5923459284836043E-2</v>
      </c>
      <c r="DN16" s="53">
        <f t="shared" si="94"/>
        <v>490739.49850486172</v>
      </c>
      <c r="DO16" s="128">
        <f t="shared" si="95"/>
        <v>0</v>
      </c>
      <c r="DP16" s="76" t="s">
        <v>8</v>
      </c>
      <c r="DQ16" s="30" t="s">
        <v>8</v>
      </c>
      <c r="DR16" s="35">
        <f t="shared" si="96"/>
        <v>0.47925007407563108</v>
      </c>
      <c r="DS16" s="33">
        <f t="shared" si="97"/>
        <v>4.5923459284836043E-2</v>
      </c>
      <c r="DT16" s="53">
        <f t="shared" si="98"/>
        <v>490739.49850486172</v>
      </c>
      <c r="DU16" s="128">
        <f t="shared" si="99"/>
        <v>0</v>
      </c>
      <c r="DV16" s="76" t="s">
        <v>8</v>
      </c>
      <c r="DW16" s="30" t="s">
        <v>8</v>
      </c>
      <c r="DX16" s="35">
        <f t="shared" si="100"/>
        <v>0.47925007407563108</v>
      </c>
      <c r="DY16" s="33">
        <f t="shared" si="101"/>
        <v>4.5923459284836043E-2</v>
      </c>
      <c r="DZ16" s="34">
        <f t="shared" si="102"/>
        <v>490739.49850486172</v>
      </c>
      <c r="EA16" s="80">
        <f t="shared" si="103"/>
        <v>0</v>
      </c>
      <c r="EB16" s="76" t="s">
        <v>8</v>
      </c>
      <c r="EC16" s="30" t="s">
        <v>8</v>
      </c>
      <c r="ED16" s="35">
        <f t="shared" si="104"/>
        <v>0.47925007407563108</v>
      </c>
      <c r="EE16" s="33">
        <f t="shared" si="105"/>
        <v>4.5923459284836043E-2</v>
      </c>
      <c r="EF16" s="34">
        <f t="shared" si="106"/>
        <v>490739.49850486172</v>
      </c>
      <c r="EG16" s="80">
        <f t="shared" si="107"/>
        <v>0</v>
      </c>
      <c r="EH16" s="76" t="s">
        <v>8</v>
      </c>
      <c r="EI16" s="30" t="s">
        <v>8</v>
      </c>
      <c r="EJ16" s="35">
        <f t="shared" si="108"/>
        <v>0.47925007407563108</v>
      </c>
      <c r="EK16" s="33">
        <f t="shared" si="109"/>
        <v>4.5923459284836043E-2</v>
      </c>
      <c r="EL16" s="34">
        <f t="shared" si="110"/>
        <v>490739.49850486172</v>
      </c>
      <c r="EM16" s="80">
        <f t="shared" si="111"/>
        <v>0</v>
      </c>
      <c r="EN16" s="76" t="s">
        <v>8</v>
      </c>
      <c r="EO16" s="30" t="s">
        <v>8</v>
      </c>
      <c r="EP16" s="35">
        <f t="shared" si="112"/>
        <v>0.47925007407563108</v>
      </c>
      <c r="EQ16" s="33">
        <f t="shared" si="113"/>
        <v>4.5923459284836043E-2</v>
      </c>
      <c r="ER16" s="34">
        <f t="shared" si="114"/>
        <v>490739.49850486172</v>
      </c>
      <c r="ES16" s="80">
        <f t="shared" si="115"/>
        <v>0</v>
      </c>
      <c r="ET16" s="76" t="s">
        <v>8</v>
      </c>
      <c r="EU16" s="30" t="s">
        <v>8</v>
      </c>
      <c r="EV16" s="35">
        <f t="shared" si="116"/>
        <v>0.47925007407563108</v>
      </c>
      <c r="EW16" s="33">
        <f t="shared" si="117"/>
        <v>4.5923459284836043E-2</v>
      </c>
      <c r="EX16" s="34">
        <f t="shared" si="118"/>
        <v>490739.49850486172</v>
      </c>
      <c r="EY16" s="80">
        <f t="shared" si="119"/>
        <v>0</v>
      </c>
      <c r="EZ16" s="76" t="s">
        <v>8</v>
      </c>
      <c r="FA16" s="30" t="s">
        <v>8</v>
      </c>
      <c r="FB16" s="35">
        <f t="shared" si="120"/>
        <v>0.47925007407563108</v>
      </c>
      <c r="FC16" s="33">
        <f t="shared" si="121"/>
        <v>4.5923459284836043E-2</v>
      </c>
      <c r="FD16" s="34">
        <f t="shared" si="122"/>
        <v>490739.49850486172</v>
      </c>
      <c r="FE16" s="80">
        <f t="shared" si="123"/>
        <v>0</v>
      </c>
      <c r="FF16" s="76" t="s">
        <v>8</v>
      </c>
      <c r="FG16" s="30" t="s">
        <v>8</v>
      </c>
      <c r="FH16" s="35">
        <f t="shared" si="124"/>
        <v>0.47925007407563108</v>
      </c>
      <c r="FI16" s="33">
        <f t="shared" si="125"/>
        <v>4.5923459284836043E-2</v>
      </c>
      <c r="FJ16" s="34">
        <f t="shared" si="126"/>
        <v>490739.49850486172</v>
      </c>
      <c r="FK16" s="80">
        <f t="shared" si="127"/>
        <v>0</v>
      </c>
      <c r="FL16" s="76" t="s">
        <v>8</v>
      </c>
      <c r="FM16" s="30" t="s">
        <v>8</v>
      </c>
      <c r="FN16" s="35">
        <f t="shared" si="128"/>
        <v>0.47925007407563108</v>
      </c>
      <c r="FO16" s="33">
        <f t="shared" si="129"/>
        <v>4.5923459284836043E-2</v>
      </c>
      <c r="FP16" s="34">
        <f t="shared" si="130"/>
        <v>490739.49850486172</v>
      </c>
      <c r="FQ16" s="80">
        <f t="shared" si="131"/>
        <v>0</v>
      </c>
      <c r="FR16" s="76" t="s">
        <v>8</v>
      </c>
      <c r="FS16" s="30" t="s">
        <v>8</v>
      </c>
      <c r="FT16" s="35">
        <f t="shared" si="132"/>
        <v>0.47925007407563108</v>
      </c>
      <c r="FU16" s="33">
        <f t="shared" si="133"/>
        <v>4.5923459284836043E-2</v>
      </c>
      <c r="FV16" s="34">
        <f t="shared" si="134"/>
        <v>490739.49850486172</v>
      </c>
      <c r="FW16" s="80">
        <f t="shared" si="135"/>
        <v>0</v>
      </c>
      <c r="FX16" s="76" t="s">
        <v>8</v>
      </c>
      <c r="FY16" s="30" t="s">
        <v>8</v>
      </c>
      <c r="FZ16" s="35">
        <f t="shared" si="136"/>
        <v>0.47925007407563108</v>
      </c>
      <c r="GA16" s="33">
        <f t="shared" si="137"/>
        <v>4.5923459284836043E-2</v>
      </c>
      <c r="GB16" s="34">
        <f t="shared" si="138"/>
        <v>490739.49850486172</v>
      </c>
      <c r="GC16" s="80">
        <f t="shared" si="139"/>
        <v>0</v>
      </c>
      <c r="GD16" s="76" t="s">
        <v>8</v>
      </c>
      <c r="GE16" s="30" t="s">
        <v>8</v>
      </c>
      <c r="GF16" s="35">
        <f t="shared" si="140"/>
        <v>0.47925007407563108</v>
      </c>
      <c r="GG16" s="33">
        <f t="shared" si="141"/>
        <v>4.5923459284836043E-2</v>
      </c>
      <c r="GH16" s="34">
        <f t="shared" si="142"/>
        <v>490739.49850486172</v>
      </c>
      <c r="GI16" s="128">
        <f t="shared" si="143"/>
        <v>0</v>
      </c>
      <c r="GJ16" s="176">
        <f t="shared" si="146"/>
        <v>1913274.6512807275</v>
      </c>
      <c r="GK16" s="99">
        <f t="shared" si="144"/>
        <v>2012443.4077450191</v>
      </c>
      <c r="GL16" s="217">
        <f t="shared" si="145"/>
        <v>0.47925007407563114</v>
      </c>
      <c r="GM16" s="231">
        <f t="shared" si="147"/>
        <v>2012443.41</v>
      </c>
      <c r="GN16" s="234"/>
    </row>
    <row r="17" spans="1:196" ht="15.75" x14ac:dyDescent="0.25">
      <c r="A17" s="162" t="s">
        <v>182</v>
      </c>
      <c r="B17" s="164" t="s">
        <v>8</v>
      </c>
      <c r="C17" s="164" t="s">
        <v>8</v>
      </c>
      <c r="D17" s="164" t="s">
        <v>8</v>
      </c>
      <c r="E17" s="164" t="s">
        <v>8</v>
      </c>
      <c r="F17" s="164" t="s">
        <v>8</v>
      </c>
      <c r="G17" s="108">
        <f>'Исходные данные'!C19</f>
        <v>489</v>
      </c>
      <c r="H17" s="31">
        <f>'Исходные данные'!F19</f>
        <v>166109.69827214492</v>
      </c>
      <c r="I17" s="32">
        <f>'Расчет КРП'!G15</f>
        <v>6.6931294280625373</v>
      </c>
      <c r="J17" s="115" t="s">
        <v>8</v>
      </c>
      <c r="K17" s="119">
        <f t="shared" si="22"/>
        <v>3.7349499143772974E-2</v>
      </c>
      <c r="L17" s="77">
        <f t="shared" si="23"/>
        <v>89636.824234821877</v>
      </c>
      <c r="M17" s="73">
        <f t="shared" si="24"/>
        <v>5.7504195256242036E-2</v>
      </c>
      <c r="N17" s="30" t="s">
        <v>8</v>
      </c>
      <c r="O17" s="33">
        <f t="shared" si="25"/>
        <v>9.5461005826424E-2</v>
      </c>
      <c r="P17" s="34">
        <f t="shared" si="26"/>
        <v>481829.11571570655</v>
      </c>
      <c r="Q17" s="80">
        <f t="shared" si="27"/>
        <v>481829.11571570655</v>
      </c>
      <c r="R17" s="169" t="s">
        <v>8</v>
      </c>
      <c r="S17" s="30" t="s">
        <v>8</v>
      </c>
      <c r="T17" s="35">
        <f t="shared" si="28"/>
        <v>0.16584269885995637</v>
      </c>
      <c r="U17" s="33">
        <f t="shared" si="29"/>
        <v>8.863692592175218E-2</v>
      </c>
      <c r="V17" s="53">
        <f t="shared" si="30"/>
        <v>574033.39457993931</v>
      </c>
      <c r="W17" s="80">
        <f t="shared" si="31"/>
        <v>574033.39457993931</v>
      </c>
      <c r="X17" s="76" t="s">
        <v>8</v>
      </c>
      <c r="Y17" s="30" t="s">
        <v>8</v>
      </c>
      <c r="Z17" s="35">
        <f t="shared" si="32"/>
        <v>0.29491318663024091</v>
      </c>
      <c r="AA17" s="33">
        <f t="shared" si="33"/>
        <v>7.0108432928559061E-2</v>
      </c>
      <c r="AB17" s="53">
        <f t="shared" si="34"/>
        <v>568218.96349283459</v>
      </c>
      <c r="AC17" s="80">
        <f t="shared" si="35"/>
        <v>568218.96349283459</v>
      </c>
      <c r="AD17" s="76" t="s">
        <v>8</v>
      </c>
      <c r="AE17" s="30" t="s">
        <v>8</v>
      </c>
      <c r="AF17" s="35">
        <f t="shared" si="36"/>
        <v>0.42267630889948438</v>
      </c>
      <c r="AG17" s="33">
        <f t="shared" si="37"/>
        <v>5.3826404196234079E-2</v>
      </c>
      <c r="AH17" s="53">
        <f t="shared" si="38"/>
        <v>523815.35399520578</v>
      </c>
      <c r="AI17" s="80">
        <f t="shared" si="39"/>
        <v>251595.01761995393</v>
      </c>
      <c r="AJ17" s="76" t="s">
        <v>8</v>
      </c>
      <c r="AK17" s="30" t="s">
        <v>8</v>
      </c>
      <c r="AL17" s="35">
        <f t="shared" si="40"/>
        <v>0.47924704494271386</v>
      </c>
      <c r="AM17" s="33">
        <f t="shared" si="41"/>
        <v>4.5926488417753264E-2</v>
      </c>
      <c r="AN17" s="53">
        <f t="shared" si="42"/>
        <v>479791.71809058235</v>
      </c>
      <c r="AO17" s="80">
        <f t="shared" si="43"/>
        <v>0</v>
      </c>
      <c r="AP17" s="76" t="s">
        <v>8</v>
      </c>
      <c r="AQ17" s="30" t="s">
        <v>8</v>
      </c>
      <c r="AR17" s="35">
        <f t="shared" si="44"/>
        <v>0.47924704494271386</v>
      </c>
      <c r="AS17" s="33">
        <f t="shared" si="45"/>
        <v>4.5926488417753264E-2</v>
      </c>
      <c r="AT17" s="53">
        <f t="shared" si="46"/>
        <v>479791.71809058235</v>
      </c>
      <c r="AU17" s="80">
        <f t="shared" si="47"/>
        <v>0</v>
      </c>
      <c r="AV17" s="76" t="s">
        <v>8</v>
      </c>
      <c r="AW17" s="30" t="s">
        <v>8</v>
      </c>
      <c r="AX17" s="35">
        <f t="shared" si="48"/>
        <v>0.47924704494271386</v>
      </c>
      <c r="AY17" s="33">
        <f t="shared" si="49"/>
        <v>4.5926488417753264E-2</v>
      </c>
      <c r="AZ17" s="53">
        <f t="shared" si="50"/>
        <v>479791.71809058235</v>
      </c>
      <c r="BA17" s="80">
        <f t="shared" si="51"/>
        <v>0</v>
      </c>
      <c r="BB17" s="76" t="s">
        <v>8</v>
      </c>
      <c r="BC17" s="30" t="s">
        <v>8</v>
      </c>
      <c r="BD17" s="35">
        <f t="shared" si="52"/>
        <v>0.47924704494271386</v>
      </c>
      <c r="BE17" s="33">
        <f t="shared" si="53"/>
        <v>4.5926488417753264E-2</v>
      </c>
      <c r="BF17" s="53">
        <f t="shared" si="54"/>
        <v>479791.71809058235</v>
      </c>
      <c r="BG17" s="80">
        <f t="shared" si="55"/>
        <v>0</v>
      </c>
      <c r="BH17" s="76" t="s">
        <v>8</v>
      </c>
      <c r="BI17" s="30" t="s">
        <v>8</v>
      </c>
      <c r="BJ17" s="35">
        <f t="shared" si="56"/>
        <v>0.47924704494271386</v>
      </c>
      <c r="BK17" s="33">
        <f t="shared" si="57"/>
        <v>4.5926488417753264E-2</v>
      </c>
      <c r="BL17" s="53">
        <f t="shared" si="58"/>
        <v>479791.71809058235</v>
      </c>
      <c r="BM17" s="80">
        <f t="shared" si="59"/>
        <v>0</v>
      </c>
      <c r="BN17" s="76" t="s">
        <v>8</v>
      </c>
      <c r="BO17" s="30" t="s">
        <v>8</v>
      </c>
      <c r="BP17" s="35">
        <f t="shared" si="60"/>
        <v>0.47924704494271386</v>
      </c>
      <c r="BQ17" s="33">
        <f t="shared" si="61"/>
        <v>4.5926488417753264E-2</v>
      </c>
      <c r="BR17" s="53">
        <f t="shared" si="62"/>
        <v>479791.71809058235</v>
      </c>
      <c r="BS17" s="128">
        <f t="shared" si="63"/>
        <v>0</v>
      </c>
      <c r="BT17" s="76" t="s">
        <v>8</v>
      </c>
      <c r="BU17" s="30" t="s">
        <v>8</v>
      </c>
      <c r="BV17" s="35">
        <f t="shared" si="64"/>
        <v>0.47924704494271386</v>
      </c>
      <c r="BW17" s="33">
        <f t="shared" si="65"/>
        <v>4.5926488417753264E-2</v>
      </c>
      <c r="BX17" s="53">
        <f t="shared" si="66"/>
        <v>479791.71809058235</v>
      </c>
      <c r="BY17" s="128">
        <f t="shared" si="67"/>
        <v>0</v>
      </c>
      <c r="BZ17" s="76" t="s">
        <v>8</v>
      </c>
      <c r="CA17" s="30" t="s">
        <v>8</v>
      </c>
      <c r="CB17" s="35">
        <f t="shared" si="68"/>
        <v>0.47924704494271386</v>
      </c>
      <c r="CC17" s="33">
        <f t="shared" si="69"/>
        <v>4.5926488417753264E-2</v>
      </c>
      <c r="CD17" s="53">
        <f t="shared" si="70"/>
        <v>479791.71809058235</v>
      </c>
      <c r="CE17" s="128">
        <f t="shared" si="71"/>
        <v>0</v>
      </c>
      <c r="CF17" s="76" t="s">
        <v>8</v>
      </c>
      <c r="CG17" s="30" t="s">
        <v>8</v>
      </c>
      <c r="CH17" s="35">
        <f t="shared" si="72"/>
        <v>0.47924704494271386</v>
      </c>
      <c r="CI17" s="33">
        <f t="shared" si="73"/>
        <v>4.5926488417753264E-2</v>
      </c>
      <c r="CJ17" s="53">
        <f t="shared" si="74"/>
        <v>479791.71809058235</v>
      </c>
      <c r="CK17" s="128">
        <f t="shared" si="75"/>
        <v>0</v>
      </c>
      <c r="CL17" s="76" t="s">
        <v>8</v>
      </c>
      <c r="CM17" s="30" t="s">
        <v>8</v>
      </c>
      <c r="CN17" s="35">
        <f t="shared" si="76"/>
        <v>0.47924704494271386</v>
      </c>
      <c r="CO17" s="33">
        <f t="shared" si="77"/>
        <v>4.5926488417753264E-2</v>
      </c>
      <c r="CP17" s="53">
        <f t="shared" si="78"/>
        <v>479791.71809058235</v>
      </c>
      <c r="CQ17" s="128">
        <f t="shared" si="79"/>
        <v>0</v>
      </c>
      <c r="CR17" s="76" t="s">
        <v>8</v>
      </c>
      <c r="CS17" s="30" t="s">
        <v>8</v>
      </c>
      <c r="CT17" s="35">
        <f t="shared" si="80"/>
        <v>0.47924704494271386</v>
      </c>
      <c r="CU17" s="33">
        <f t="shared" si="81"/>
        <v>4.5926488417753264E-2</v>
      </c>
      <c r="CV17" s="53">
        <f t="shared" si="82"/>
        <v>479791.71809058235</v>
      </c>
      <c r="CW17" s="128">
        <f t="shared" si="83"/>
        <v>0</v>
      </c>
      <c r="CX17" s="76" t="s">
        <v>8</v>
      </c>
      <c r="CY17" s="30" t="s">
        <v>8</v>
      </c>
      <c r="CZ17" s="35">
        <f t="shared" si="84"/>
        <v>0.47924704494271386</v>
      </c>
      <c r="DA17" s="33">
        <f t="shared" si="85"/>
        <v>4.5926488417753264E-2</v>
      </c>
      <c r="DB17" s="53">
        <f t="shared" si="86"/>
        <v>479791.71809058235</v>
      </c>
      <c r="DC17" s="128">
        <f t="shared" si="87"/>
        <v>0</v>
      </c>
      <c r="DD17" s="76" t="s">
        <v>8</v>
      </c>
      <c r="DE17" s="30" t="s">
        <v>8</v>
      </c>
      <c r="DF17" s="35">
        <f t="shared" si="88"/>
        <v>0.47924704494271386</v>
      </c>
      <c r="DG17" s="33">
        <f t="shared" si="89"/>
        <v>4.5926488417753264E-2</v>
      </c>
      <c r="DH17" s="53">
        <f t="shared" si="90"/>
        <v>479791.71809058235</v>
      </c>
      <c r="DI17" s="128">
        <f t="shared" si="91"/>
        <v>0</v>
      </c>
      <c r="DJ17" s="76" t="s">
        <v>8</v>
      </c>
      <c r="DK17" s="30" t="s">
        <v>8</v>
      </c>
      <c r="DL17" s="35">
        <f t="shared" si="92"/>
        <v>0.47924704494271386</v>
      </c>
      <c r="DM17" s="33">
        <f t="shared" si="93"/>
        <v>4.5926488417753264E-2</v>
      </c>
      <c r="DN17" s="53">
        <f t="shared" si="94"/>
        <v>479791.71809058235</v>
      </c>
      <c r="DO17" s="128">
        <f t="shared" si="95"/>
        <v>0</v>
      </c>
      <c r="DP17" s="76" t="s">
        <v>8</v>
      </c>
      <c r="DQ17" s="30" t="s">
        <v>8</v>
      </c>
      <c r="DR17" s="35">
        <f t="shared" si="96"/>
        <v>0.47924704494271386</v>
      </c>
      <c r="DS17" s="33">
        <f t="shared" si="97"/>
        <v>4.5926488417753264E-2</v>
      </c>
      <c r="DT17" s="53">
        <f t="shared" si="98"/>
        <v>479791.71809058235</v>
      </c>
      <c r="DU17" s="128">
        <f t="shared" si="99"/>
        <v>0</v>
      </c>
      <c r="DV17" s="76" t="s">
        <v>8</v>
      </c>
      <c r="DW17" s="30" t="s">
        <v>8</v>
      </c>
      <c r="DX17" s="35">
        <f t="shared" si="100"/>
        <v>0.47924704494271386</v>
      </c>
      <c r="DY17" s="33">
        <f t="shared" si="101"/>
        <v>4.5926488417753264E-2</v>
      </c>
      <c r="DZ17" s="34">
        <f t="shared" si="102"/>
        <v>479791.71809058235</v>
      </c>
      <c r="EA17" s="80">
        <f t="shared" si="103"/>
        <v>0</v>
      </c>
      <c r="EB17" s="76" t="s">
        <v>8</v>
      </c>
      <c r="EC17" s="30" t="s">
        <v>8</v>
      </c>
      <c r="ED17" s="35">
        <f t="shared" si="104"/>
        <v>0.47924704494271386</v>
      </c>
      <c r="EE17" s="33">
        <f t="shared" si="105"/>
        <v>4.5926488417753264E-2</v>
      </c>
      <c r="EF17" s="34">
        <f t="shared" si="106"/>
        <v>479791.71809058235</v>
      </c>
      <c r="EG17" s="80">
        <f t="shared" si="107"/>
        <v>0</v>
      </c>
      <c r="EH17" s="76" t="s">
        <v>8</v>
      </c>
      <c r="EI17" s="30" t="s">
        <v>8</v>
      </c>
      <c r="EJ17" s="35">
        <f t="shared" si="108"/>
        <v>0.47924704494271386</v>
      </c>
      <c r="EK17" s="33">
        <f t="shared" si="109"/>
        <v>4.5926488417753264E-2</v>
      </c>
      <c r="EL17" s="34">
        <f t="shared" si="110"/>
        <v>479791.71809058235</v>
      </c>
      <c r="EM17" s="80">
        <f t="shared" si="111"/>
        <v>0</v>
      </c>
      <c r="EN17" s="76" t="s">
        <v>8</v>
      </c>
      <c r="EO17" s="30" t="s">
        <v>8</v>
      </c>
      <c r="EP17" s="35">
        <f t="shared" si="112"/>
        <v>0.47924704494271386</v>
      </c>
      <c r="EQ17" s="33">
        <f t="shared" si="113"/>
        <v>4.5926488417753264E-2</v>
      </c>
      <c r="ER17" s="34">
        <f t="shared" si="114"/>
        <v>479791.71809058235</v>
      </c>
      <c r="ES17" s="80">
        <f t="shared" si="115"/>
        <v>0</v>
      </c>
      <c r="ET17" s="76" t="s">
        <v>8</v>
      </c>
      <c r="EU17" s="30" t="s">
        <v>8</v>
      </c>
      <c r="EV17" s="35">
        <f t="shared" si="116"/>
        <v>0.47924704494271386</v>
      </c>
      <c r="EW17" s="33">
        <f t="shared" si="117"/>
        <v>4.5926488417753264E-2</v>
      </c>
      <c r="EX17" s="34">
        <f t="shared" si="118"/>
        <v>479791.71809058235</v>
      </c>
      <c r="EY17" s="80">
        <f t="shared" si="119"/>
        <v>0</v>
      </c>
      <c r="EZ17" s="76" t="s">
        <v>8</v>
      </c>
      <c r="FA17" s="30" t="s">
        <v>8</v>
      </c>
      <c r="FB17" s="35">
        <f t="shared" si="120"/>
        <v>0.47924704494271386</v>
      </c>
      <c r="FC17" s="33">
        <f t="shared" si="121"/>
        <v>4.5926488417753264E-2</v>
      </c>
      <c r="FD17" s="34">
        <f t="shared" si="122"/>
        <v>479791.71809058235</v>
      </c>
      <c r="FE17" s="80">
        <f t="shared" si="123"/>
        <v>0</v>
      </c>
      <c r="FF17" s="76" t="s">
        <v>8</v>
      </c>
      <c r="FG17" s="30" t="s">
        <v>8</v>
      </c>
      <c r="FH17" s="35">
        <f t="shared" si="124"/>
        <v>0.47924704494271386</v>
      </c>
      <c r="FI17" s="33">
        <f t="shared" si="125"/>
        <v>4.5926488417753264E-2</v>
      </c>
      <c r="FJ17" s="34">
        <f t="shared" si="126"/>
        <v>479791.71809058235</v>
      </c>
      <c r="FK17" s="80">
        <f t="shared" si="127"/>
        <v>0</v>
      </c>
      <c r="FL17" s="76" t="s">
        <v>8</v>
      </c>
      <c r="FM17" s="30" t="s">
        <v>8</v>
      </c>
      <c r="FN17" s="35">
        <f t="shared" si="128"/>
        <v>0.47924704494271386</v>
      </c>
      <c r="FO17" s="33">
        <f t="shared" si="129"/>
        <v>4.5926488417753264E-2</v>
      </c>
      <c r="FP17" s="34">
        <f t="shared" si="130"/>
        <v>479791.71809058235</v>
      </c>
      <c r="FQ17" s="80">
        <f t="shared" si="131"/>
        <v>0</v>
      </c>
      <c r="FR17" s="76" t="s">
        <v>8</v>
      </c>
      <c r="FS17" s="30" t="s">
        <v>8</v>
      </c>
      <c r="FT17" s="35">
        <f t="shared" si="132"/>
        <v>0.47924704494271386</v>
      </c>
      <c r="FU17" s="33">
        <f t="shared" si="133"/>
        <v>4.5926488417753264E-2</v>
      </c>
      <c r="FV17" s="34">
        <f t="shared" si="134"/>
        <v>479791.71809058235</v>
      </c>
      <c r="FW17" s="80">
        <f t="shared" si="135"/>
        <v>0</v>
      </c>
      <c r="FX17" s="76" t="s">
        <v>8</v>
      </c>
      <c r="FY17" s="30" t="s">
        <v>8</v>
      </c>
      <c r="FZ17" s="35">
        <f t="shared" si="136"/>
        <v>0.47924704494271386</v>
      </c>
      <c r="GA17" s="33">
        <f t="shared" si="137"/>
        <v>4.5926488417753264E-2</v>
      </c>
      <c r="GB17" s="34">
        <f t="shared" si="138"/>
        <v>479791.71809058235</v>
      </c>
      <c r="GC17" s="80">
        <f t="shared" si="139"/>
        <v>0</v>
      </c>
      <c r="GD17" s="76" t="s">
        <v>8</v>
      </c>
      <c r="GE17" s="30" t="s">
        <v>8</v>
      </c>
      <c r="GF17" s="35">
        <f t="shared" si="140"/>
        <v>0.47924704494271386</v>
      </c>
      <c r="GG17" s="33">
        <f t="shared" si="141"/>
        <v>4.5926488417753264E-2</v>
      </c>
      <c r="GH17" s="34">
        <f t="shared" si="142"/>
        <v>479791.71809058235</v>
      </c>
      <c r="GI17" s="128">
        <f t="shared" si="143"/>
        <v>0</v>
      </c>
      <c r="GJ17" s="176">
        <f t="shared" si="146"/>
        <v>1875676.4914084342</v>
      </c>
      <c r="GK17" s="99">
        <f t="shared" si="144"/>
        <v>1965313.3156432561</v>
      </c>
      <c r="GL17" s="217">
        <f t="shared" si="145"/>
        <v>0.47924704494271386</v>
      </c>
      <c r="GM17" s="231">
        <f>ROUNDDOWN(GK17,2)</f>
        <v>1965313.31</v>
      </c>
      <c r="GN17" s="234"/>
    </row>
    <row r="18" spans="1:196" ht="15.75" x14ac:dyDescent="0.25">
      <c r="A18" s="162" t="s">
        <v>183</v>
      </c>
      <c r="B18" s="164" t="s">
        <v>8</v>
      </c>
      <c r="C18" s="164" t="s">
        <v>8</v>
      </c>
      <c r="D18" s="164" t="s">
        <v>8</v>
      </c>
      <c r="E18" s="164" t="s">
        <v>8</v>
      </c>
      <c r="F18" s="164" t="s">
        <v>8</v>
      </c>
      <c r="G18" s="108">
        <f>'Исходные данные'!C20</f>
        <v>87</v>
      </c>
      <c r="H18" s="31">
        <f>'Исходные данные'!F20</f>
        <v>41567.893201579369</v>
      </c>
      <c r="I18" s="32">
        <f>'Расчет КРП'!G16</f>
        <v>15.930345833995442</v>
      </c>
      <c r="J18" s="115" t="s">
        <v>8</v>
      </c>
      <c r="K18" s="119">
        <f t="shared" si="22"/>
        <v>2.2071987026665098E-2</v>
      </c>
      <c r="L18" s="77">
        <f t="shared" si="23"/>
        <v>15947.655845459107</v>
      </c>
      <c r="M18" s="73">
        <f t="shared" si="24"/>
        <v>3.0539975799146812E-2</v>
      </c>
      <c r="N18" s="30" t="s">
        <v>8</v>
      </c>
      <c r="O18" s="33">
        <f t="shared" si="25"/>
        <v>0.12242522528351922</v>
      </c>
      <c r="P18" s="34">
        <f t="shared" si="26"/>
        <v>261664.20719257553</v>
      </c>
      <c r="Q18" s="80">
        <f t="shared" si="27"/>
        <v>261664.20719257553</v>
      </c>
      <c r="R18" s="169" t="s">
        <v>8</v>
      </c>
      <c r="S18" s="30" t="s">
        <v>8</v>
      </c>
      <c r="T18" s="35">
        <f t="shared" si="28"/>
        <v>0.16948011785757802</v>
      </c>
      <c r="U18" s="33">
        <f t="shared" si="29"/>
        <v>8.4999506924130525E-2</v>
      </c>
      <c r="V18" s="53">
        <f t="shared" si="30"/>
        <v>233101.59946285046</v>
      </c>
      <c r="W18" s="80">
        <f t="shared" si="31"/>
        <v>233101.59946285046</v>
      </c>
      <c r="X18" s="76" t="s">
        <v>8</v>
      </c>
      <c r="Y18" s="30" t="s">
        <v>8</v>
      </c>
      <c r="Z18" s="35">
        <f t="shared" si="32"/>
        <v>0.29325390293464887</v>
      </c>
      <c r="AA18" s="33">
        <f t="shared" si="33"/>
        <v>7.1767716624151101E-2</v>
      </c>
      <c r="AB18" s="53">
        <f t="shared" si="34"/>
        <v>246309.38901727507</v>
      </c>
      <c r="AC18" s="80">
        <f t="shared" si="35"/>
        <v>246309.38901727507</v>
      </c>
      <c r="AD18" s="76" t="s">
        <v>8</v>
      </c>
      <c r="AE18" s="30" t="s">
        <v>8</v>
      </c>
      <c r="AF18" s="35">
        <f t="shared" si="36"/>
        <v>0.42404084497597755</v>
      </c>
      <c r="AG18" s="33">
        <f t="shared" si="37"/>
        <v>5.2461868119740906E-2</v>
      </c>
      <c r="AH18" s="53">
        <f t="shared" si="38"/>
        <v>216188.69583288085</v>
      </c>
      <c r="AI18" s="80">
        <f t="shared" si="39"/>
        <v>103838.11456165589</v>
      </c>
      <c r="AJ18" s="76" t="s">
        <v>8</v>
      </c>
      <c r="AK18" s="30" t="s">
        <v>8</v>
      </c>
      <c r="AL18" s="35">
        <f t="shared" si="40"/>
        <v>0.47917747425771262</v>
      </c>
      <c r="AM18" s="33">
        <f t="shared" si="41"/>
        <v>4.5996059102754505E-2</v>
      </c>
      <c r="AN18" s="53">
        <f t="shared" si="42"/>
        <v>203477.55228458744</v>
      </c>
      <c r="AO18" s="80">
        <f t="shared" si="43"/>
        <v>0</v>
      </c>
      <c r="AP18" s="76" t="s">
        <v>8</v>
      </c>
      <c r="AQ18" s="30" t="s">
        <v>8</v>
      </c>
      <c r="AR18" s="35">
        <f t="shared" si="44"/>
        <v>0.47917747425771262</v>
      </c>
      <c r="AS18" s="33">
        <f t="shared" si="45"/>
        <v>4.5996059102754505E-2</v>
      </c>
      <c r="AT18" s="53">
        <f t="shared" si="46"/>
        <v>203477.55228458744</v>
      </c>
      <c r="AU18" s="80">
        <f t="shared" si="47"/>
        <v>0</v>
      </c>
      <c r="AV18" s="76" t="s">
        <v>8</v>
      </c>
      <c r="AW18" s="30" t="s">
        <v>8</v>
      </c>
      <c r="AX18" s="35">
        <f t="shared" si="48"/>
        <v>0.47917747425771262</v>
      </c>
      <c r="AY18" s="33">
        <f t="shared" si="49"/>
        <v>4.5996059102754505E-2</v>
      </c>
      <c r="AZ18" s="53">
        <f t="shared" si="50"/>
        <v>203477.55228458744</v>
      </c>
      <c r="BA18" s="80">
        <f t="shared" si="51"/>
        <v>0</v>
      </c>
      <c r="BB18" s="76" t="s">
        <v>8</v>
      </c>
      <c r="BC18" s="30" t="s">
        <v>8</v>
      </c>
      <c r="BD18" s="35">
        <f t="shared" si="52"/>
        <v>0.47917747425771262</v>
      </c>
      <c r="BE18" s="33">
        <f t="shared" si="53"/>
        <v>4.5996059102754505E-2</v>
      </c>
      <c r="BF18" s="53">
        <f t="shared" si="54"/>
        <v>203477.55228458744</v>
      </c>
      <c r="BG18" s="80">
        <f t="shared" si="55"/>
        <v>0</v>
      </c>
      <c r="BH18" s="76" t="s">
        <v>8</v>
      </c>
      <c r="BI18" s="30" t="s">
        <v>8</v>
      </c>
      <c r="BJ18" s="35">
        <f t="shared" si="56"/>
        <v>0.47917747425771262</v>
      </c>
      <c r="BK18" s="33">
        <f t="shared" si="57"/>
        <v>4.5996059102754505E-2</v>
      </c>
      <c r="BL18" s="53">
        <f t="shared" si="58"/>
        <v>203477.55228458744</v>
      </c>
      <c r="BM18" s="80">
        <f t="shared" si="59"/>
        <v>0</v>
      </c>
      <c r="BN18" s="76" t="s">
        <v>8</v>
      </c>
      <c r="BO18" s="30" t="s">
        <v>8</v>
      </c>
      <c r="BP18" s="35">
        <f t="shared" si="60"/>
        <v>0.47917747425771262</v>
      </c>
      <c r="BQ18" s="33">
        <f t="shared" si="61"/>
        <v>4.5996059102754505E-2</v>
      </c>
      <c r="BR18" s="53">
        <f t="shared" si="62"/>
        <v>203477.55228458744</v>
      </c>
      <c r="BS18" s="128">
        <f t="shared" si="63"/>
        <v>0</v>
      </c>
      <c r="BT18" s="76" t="s">
        <v>8</v>
      </c>
      <c r="BU18" s="30" t="s">
        <v>8</v>
      </c>
      <c r="BV18" s="35">
        <f t="shared" si="64"/>
        <v>0.47917747425771262</v>
      </c>
      <c r="BW18" s="33">
        <f t="shared" si="65"/>
        <v>4.5996059102754505E-2</v>
      </c>
      <c r="BX18" s="53">
        <f t="shared" si="66"/>
        <v>203477.55228458744</v>
      </c>
      <c r="BY18" s="128">
        <f t="shared" si="67"/>
        <v>0</v>
      </c>
      <c r="BZ18" s="76" t="s">
        <v>8</v>
      </c>
      <c r="CA18" s="30" t="s">
        <v>8</v>
      </c>
      <c r="CB18" s="35">
        <f t="shared" si="68"/>
        <v>0.47917747425771262</v>
      </c>
      <c r="CC18" s="33">
        <f t="shared" si="69"/>
        <v>4.5996059102754505E-2</v>
      </c>
      <c r="CD18" s="53">
        <f t="shared" si="70"/>
        <v>203477.55228458744</v>
      </c>
      <c r="CE18" s="128">
        <f t="shared" si="71"/>
        <v>0</v>
      </c>
      <c r="CF18" s="76" t="s">
        <v>8</v>
      </c>
      <c r="CG18" s="30" t="s">
        <v>8</v>
      </c>
      <c r="CH18" s="35">
        <f t="shared" si="72"/>
        <v>0.47917747425771262</v>
      </c>
      <c r="CI18" s="33">
        <f t="shared" si="73"/>
        <v>4.5996059102754505E-2</v>
      </c>
      <c r="CJ18" s="53">
        <f t="shared" si="74"/>
        <v>203477.55228458744</v>
      </c>
      <c r="CK18" s="128">
        <f t="shared" si="75"/>
        <v>0</v>
      </c>
      <c r="CL18" s="76" t="s">
        <v>8</v>
      </c>
      <c r="CM18" s="30" t="s">
        <v>8</v>
      </c>
      <c r="CN18" s="35">
        <f t="shared" si="76"/>
        <v>0.47917747425771262</v>
      </c>
      <c r="CO18" s="33">
        <f t="shared" si="77"/>
        <v>4.5996059102754505E-2</v>
      </c>
      <c r="CP18" s="53">
        <f t="shared" si="78"/>
        <v>203477.55228458744</v>
      </c>
      <c r="CQ18" s="128">
        <f t="shared" si="79"/>
        <v>0</v>
      </c>
      <c r="CR18" s="76" t="s">
        <v>8</v>
      </c>
      <c r="CS18" s="30" t="s">
        <v>8</v>
      </c>
      <c r="CT18" s="35">
        <f t="shared" si="80"/>
        <v>0.47917747425771262</v>
      </c>
      <c r="CU18" s="33">
        <f t="shared" si="81"/>
        <v>4.5996059102754505E-2</v>
      </c>
      <c r="CV18" s="53">
        <f t="shared" si="82"/>
        <v>203477.55228458744</v>
      </c>
      <c r="CW18" s="128">
        <f t="shared" si="83"/>
        <v>0</v>
      </c>
      <c r="CX18" s="76" t="s">
        <v>8</v>
      </c>
      <c r="CY18" s="30" t="s">
        <v>8</v>
      </c>
      <c r="CZ18" s="35">
        <f t="shared" si="84"/>
        <v>0.47917747425771262</v>
      </c>
      <c r="DA18" s="33">
        <f t="shared" si="85"/>
        <v>4.5996059102754505E-2</v>
      </c>
      <c r="DB18" s="53">
        <f t="shared" si="86"/>
        <v>203477.55228458744</v>
      </c>
      <c r="DC18" s="128">
        <f t="shared" si="87"/>
        <v>0</v>
      </c>
      <c r="DD18" s="76" t="s">
        <v>8</v>
      </c>
      <c r="DE18" s="30" t="s">
        <v>8</v>
      </c>
      <c r="DF18" s="35">
        <f t="shared" si="88"/>
        <v>0.47917747425771262</v>
      </c>
      <c r="DG18" s="33">
        <f t="shared" si="89"/>
        <v>4.5996059102754505E-2</v>
      </c>
      <c r="DH18" s="53">
        <f t="shared" si="90"/>
        <v>203477.55228458744</v>
      </c>
      <c r="DI18" s="128">
        <f t="shared" si="91"/>
        <v>0</v>
      </c>
      <c r="DJ18" s="76" t="s">
        <v>8</v>
      </c>
      <c r="DK18" s="30" t="s">
        <v>8</v>
      </c>
      <c r="DL18" s="35">
        <f t="shared" si="92"/>
        <v>0.47917747425771262</v>
      </c>
      <c r="DM18" s="33">
        <f t="shared" si="93"/>
        <v>4.5996059102754505E-2</v>
      </c>
      <c r="DN18" s="53">
        <f t="shared" si="94"/>
        <v>203477.55228458744</v>
      </c>
      <c r="DO18" s="128">
        <f t="shared" si="95"/>
        <v>0</v>
      </c>
      <c r="DP18" s="76" t="s">
        <v>8</v>
      </c>
      <c r="DQ18" s="30" t="s">
        <v>8</v>
      </c>
      <c r="DR18" s="35">
        <f t="shared" si="96"/>
        <v>0.47917747425771262</v>
      </c>
      <c r="DS18" s="33">
        <f t="shared" si="97"/>
        <v>4.5996059102754505E-2</v>
      </c>
      <c r="DT18" s="53">
        <f t="shared" si="98"/>
        <v>203477.55228458744</v>
      </c>
      <c r="DU18" s="128">
        <f t="shared" si="99"/>
        <v>0</v>
      </c>
      <c r="DV18" s="76" t="s">
        <v>8</v>
      </c>
      <c r="DW18" s="30" t="s">
        <v>8</v>
      </c>
      <c r="DX18" s="35">
        <f t="shared" si="100"/>
        <v>0.47917747425771262</v>
      </c>
      <c r="DY18" s="33">
        <f t="shared" si="101"/>
        <v>4.5996059102754505E-2</v>
      </c>
      <c r="DZ18" s="34">
        <f t="shared" si="102"/>
        <v>203477.55228458744</v>
      </c>
      <c r="EA18" s="80">
        <f t="shared" si="103"/>
        <v>0</v>
      </c>
      <c r="EB18" s="76" t="s">
        <v>8</v>
      </c>
      <c r="EC18" s="30" t="s">
        <v>8</v>
      </c>
      <c r="ED18" s="35">
        <f t="shared" si="104"/>
        <v>0.47917747425771262</v>
      </c>
      <c r="EE18" s="33">
        <f t="shared" si="105"/>
        <v>4.5996059102754505E-2</v>
      </c>
      <c r="EF18" s="34">
        <f t="shared" si="106"/>
        <v>203477.55228458744</v>
      </c>
      <c r="EG18" s="80">
        <f t="shared" si="107"/>
        <v>0</v>
      </c>
      <c r="EH18" s="76" t="s">
        <v>8</v>
      </c>
      <c r="EI18" s="30" t="s">
        <v>8</v>
      </c>
      <c r="EJ18" s="35">
        <f t="shared" si="108"/>
        <v>0.47917747425771262</v>
      </c>
      <c r="EK18" s="33">
        <f t="shared" si="109"/>
        <v>4.5996059102754505E-2</v>
      </c>
      <c r="EL18" s="34">
        <f t="shared" si="110"/>
        <v>203477.55228458744</v>
      </c>
      <c r="EM18" s="80">
        <f t="shared" si="111"/>
        <v>0</v>
      </c>
      <c r="EN18" s="76" t="s">
        <v>8</v>
      </c>
      <c r="EO18" s="30" t="s">
        <v>8</v>
      </c>
      <c r="EP18" s="35">
        <f t="shared" si="112"/>
        <v>0.47917747425771262</v>
      </c>
      <c r="EQ18" s="33">
        <f t="shared" si="113"/>
        <v>4.5996059102754505E-2</v>
      </c>
      <c r="ER18" s="34">
        <f t="shared" si="114"/>
        <v>203477.55228458744</v>
      </c>
      <c r="ES18" s="80">
        <f t="shared" si="115"/>
        <v>0</v>
      </c>
      <c r="ET18" s="76" t="s">
        <v>8</v>
      </c>
      <c r="EU18" s="30" t="s">
        <v>8</v>
      </c>
      <c r="EV18" s="35">
        <f t="shared" si="116"/>
        <v>0.47917747425771262</v>
      </c>
      <c r="EW18" s="33">
        <f t="shared" si="117"/>
        <v>4.5996059102754505E-2</v>
      </c>
      <c r="EX18" s="34">
        <f t="shared" si="118"/>
        <v>203477.55228458744</v>
      </c>
      <c r="EY18" s="80">
        <f t="shared" si="119"/>
        <v>0</v>
      </c>
      <c r="EZ18" s="76" t="s">
        <v>8</v>
      </c>
      <c r="FA18" s="30" t="s">
        <v>8</v>
      </c>
      <c r="FB18" s="35">
        <f t="shared" si="120"/>
        <v>0.47917747425771262</v>
      </c>
      <c r="FC18" s="33">
        <f t="shared" si="121"/>
        <v>4.5996059102754505E-2</v>
      </c>
      <c r="FD18" s="34">
        <f t="shared" si="122"/>
        <v>203477.55228458744</v>
      </c>
      <c r="FE18" s="80">
        <f t="shared" si="123"/>
        <v>0</v>
      </c>
      <c r="FF18" s="76" t="s">
        <v>8</v>
      </c>
      <c r="FG18" s="30" t="s">
        <v>8</v>
      </c>
      <c r="FH18" s="35">
        <f t="shared" si="124"/>
        <v>0.47917747425771262</v>
      </c>
      <c r="FI18" s="33">
        <f t="shared" si="125"/>
        <v>4.5996059102754505E-2</v>
      </c>
      <c r="FJ18" s="34">
        <f t="shared" si="126"/>
        <v>203477.55228458744</v>
      </c>
      <c r="FK18" s="80">
        <f t="shared" si="127"/>
        <v>0</v>
      </c>
      <c r="FL18" s="76" t="s">
        <v>8</v>
      </c>
      <c r="FM18" s="30" t="s">
        <v>8</v>
      </c>
      <c r="FN18" s="35">
        <f t="shared" si="128"/>
        <v>0.47917747425771262</v>
      </c>
      <c r="FO18" s="33">
        <f t="shared" si="129"/>
        <v>4.5996059102754505E-2</v>
      </c>
      <c r="FP18" s="34">
        <f t="shared" si="130"/>
        <v>203477.55228458744</v>
      </c>
      <c r="FQ18" s="80">
        <f t="shared" si="131"/>
        <v>0</v>
      </c>
      <c r="FR18" s="76" t="s">
        <v>8</v>
      </c>
      <c r="FS18" s="30" t="s">
        <v>8</v>
      </c>
      <c r="FT18" s="35">
        <f t="shared" si="132"/>
        <v>0.47917747425771262</v>
      </c>
      <c r="FU18" s="33">
        <f t="shared" si="133"/>
        <v>4.5996059102754505E-2</v>
      </c>
      <c r="FV18" s="34">
        <f t="shared" si="134"/>
        <v>203477.55228458744</v>
      </c>
      <c r="FW18" s="80">
        <f t="shared" si="135"/>
        <v>0</v>
      </c>
      <c r="FX18" s="76" t="s">
        <v>8</v>
      </c>
      <c r="FY18" s="30" t="s">
        <v>8</v>
      </c>
      <c r="FZ18" s="35">
        <f t="shared" si="136"/>
        <v>0.47917747425771262</v>
      </c>
      <c r="GA18" s="33">
        <f t="shared" si="137"/>
        <v>4.5996059102754505E-2</v>
      </c>
      <c r="GB18" s="34">
        <f t="shared" si="138"/>
        <v>203477.55228458744</v>
      </c>
      <c r="GC18" s="80">
        <f t="shared" si="139"/>
        <v>0</v>
      </c>
      <c r="GD18" s="76" t="s">
        <v>8</v>
      </c>
      <c r="GE18" s="30" t="s">
        <v>8</v>
      </c>
      <c r="GF18" s="35">
        <f t="shared" si="140"/>
        <v>0.47917747425771262</v>
      </c>
      <c r="GG18" s="33">
        <f t="shared" si="141"/>
        <v>4.5996059102754505E-2</v>
      </c>
      <c r="GH18" s="34">
        <f t="shared" si="142"/>
        <v>203477.55228458744</v>
      </c>
      <c r="GI18" s="128">
        <f t="shared" si="143"/>
        <v>0</v>
      </c>
      <c r="GJ18" s="176">
        <f t="shared" si="146"/>
        <v>844913.31023435702</v>
      </c>
      <c r="GK18" s="99">
        <f t="shared" si="144"/>
        <v>860860.96607981611</v>
      </c>
      <c r="GL18" s="217">
        <f t="shared" si="145"/>
        <v>0.47917747425771251</v>
      </c>
      <c r="GM18" s="231">
        <f t="shared" si="147"/>
        <v>860860.97</v>
      </c>
      <c r="GN18" s="234"/>
    </row>
    <row r="19" spans="1:196" ht="15.75" x14ac:dyDescent="0.25">
      <c r="A19" s="162" t="s">
        <v>184</v>
      </c>
      <c r="B19" s="164" t="s">
        <v>8</v>
      </c>
      <c r="C19" s="164" t="s">
        <v>8</v>
      </c>
      <c r="D19" s="164" t="s">
        <v>8</v>
      </c>
      <c r="E19" s="164" t="s">
        <v>8</v>
      </c>
      <c r="F19" s="164" t="s">
        <v>8</v>
      </c>
      <c r="G19" s="108">
        <f>'Исходные данные'!C21</f>
        <v>527</v>
      </c>
      <c r="H19" s="31">
        <f>'Исходные данные'!F21</f>
        <v>146665.58247780078</v>
      </c>
      <c r="I19" s="32">
        <f>'Расчет КРП'!G17</f>
        <v>4.8410037950664133</v>
      </c>
      <c r="J19" s="115" t="s">
        <v>8</v>
      </c>
      <c r="K19" s="119">
        <f t="shared" si="22"/>
        <v>4.2306787426125474E-2</v>
      </c>
      <c r="L19" s="77">
        <f t="shared" si="23"/>
        <v>96602.467017895964</v>
      </c>
      <c r="M19" s="73">
        <f t="shared" si="24"/>
        <v>7.0172493666947292E-2</v>
      </c>
      <c r="N19" s="30" t="s">
        <v>8</v>
      </c>
      <c r="O19" s="33">
        <f t="shared" si="25"/>
        <v>8.2792707415718744E-2</v>
      </c>
      <c r="P19" s="34">
        <f t="shared" si="26"/>
        <v>325736.98666400602</v>
      </c>
      <c r="Q19" s="80">
        <f t="shared" si="27"/>
        <v>325736.98666400602</v>
      </c>
      <c r="R19" s="169" t="s">
        <v>8</v>
      </c>
      <c r="S19" s="30" t="s">
        <v>8</v>
      </c>
      <c r="T19" s="35">
        <f t="shared" si="28"/>
        <v>0.1641337708718883</v>
      </c>
      <c r="U19" s="33">
        <f t="shared" si="29"/>
        <v>9.0345853909820251E-2</v>
      </c>
      <c r="V19" s="53">
        <f t="shared" si="30"/>
        <v>456077.50875520246</v>
      </c>
      <c r="W19" s="80">
        <f t="shared" si="31"/>
        <v>456077.50875520246</v>
      </c>
      <c r="X19" s="76" t="s">
        <v>8</v>
      </c>
      <c r="Y19" s="30" t="s">
        <v>8</v>
      </c>
      <c r="Z19" s="35">
        <f t="shared" si="32"/>
        <v>0.29569274937772644</v>
      </c>
      <c r="AA19" s="33">
        <f t="shared" si="33"/>
        <v>6.9328870181073532E-2</v>
      </c>
      <c r="AB19" s="53">
        <f t="shared" si="34"/>
        <v>437993.37599681719</v>
      </c>
      <c r="AC19" s="80">
        <f t="shared" si="35"/>
        <v>437993.37599681719</v>
      </c>
      <c r="AD19" s="76" t="s">
        <v>8</v>
      </c>
      <c r="AE19" s="30" t="s">
        <v>8</v>
      </c>
      <c r="AF19" s="35">
        <f t="shared" si="36"/>
        <v>0.422035224137632</v>
      </c>
      <c r="AG19" s="33">
        <f t="shared" si="37"/>
        <v>5.4467488958086452E-2</v>
      </c>
      <c r="AH19" s="53">
        <f t="shared" si="38"/>
        <v>413169.41566237289</v>
      </c>
      <c r="AI19" s="80">
        <f t="shared" si="39"/>
        <v>198450.39978448628</v>
      </c>
      <c r="AJ19" s="76" t="s">
        <v>8</v>
      </c>
      <c r="AK19" s="30" t="s">
        <v>8</v>
      </c>
      <c r="AL19" s="35">
        <f t="shared" si="40"/>
        <v>0.47927973056150719</v>
      </c>
      <c r="AM19" s="33">
        <f t="shared" si="41"/>
        <v>4.5893802798959937E-2</v>
      </c>
      <c r="AN19" s="53">
        <f t="shared" si="42"/>
        <v>373724.4471912749</v>
      </c>
      <c r="AO19" s="80">
        <f t="shared" si="43"/>
        <v>0</v>
      </c>
      <c r="AP19" s="76" t="s">
        <v>8</v>
      </c>
      <c r="AQ19" s="30" t="s">
        <v>8</v>
      </c>
      <c r="AR19" s="35">
        <f t="shared" si="44"/>
        <v>0.47927973056150719</v>
      </c>
      <c r="AS19" s="33">
        <f t="shared" si="45"/>
        <v>4.5893802798959937E-2</v>
      </c>
      <c r="AT19" s="53">
        <f t="shared" si="46"/>
        <v>373724.4471912749</v>
      </c>
      <c r="AU19" s="80">
        <f t="shared" si="47"/>
        <v>0</v>
      </c>
      <c r="AV19" s="76" t="s">
        <v>8</v>
      </c>
      <c r="AW19" s="30" t="s">
        <v>8</v>
      </c>
      <c r="AX19" s="35">
        <f t="shared" si="48"/>
        <v>0.47927973056150719</v>
      </c>
      <c r="AY19" s="33">
        <f t="shared" si="49"/>
        <v>4.5893802798959937E-2</v>
      </c>
      <c r="AZ19" s="53">
        <f t="shared" si="50"/>
        <v>373724.4471912749</v>
      </c>
      <c r="BA19" s="80">
        <f t="shared" si="51"/>
        <v>0</v>
      </c>
      <c r="BB19" s="76" t="s">
        <v>8</v>
      </c>
      <c r="BC19" s="30" t="s">
        <v>8</v>
      </c>
      <c r="BD19" s="35">
        <f t="shared" si="52"/>
        <v>0.47927973056150719</v>
      </c>
      <c r="BE19" s="33">
        <f t="shared" si="53"/>
        <v>4.5893802798959937E-2</v>
      </c>
      <c r="BF19" s="53">
        <f t="shared" si="54"/>
        <v>373724.4471912749</v>
      </c>
      <c r="BG19" s="80">
        <f t="shared" si="55"/>
        <v>0</v>
      </c>
      <c r="BH19" s="76" t="s">
        <v>8</v>
      </c>
      <c r="BI19" s="30" t="s">
        <v>8</v>
      </c>
      <c r="BJ19" s="35">
        <f t="shared" si="56"/>
        <v>0.47927973056150719</v>
      </c>
      <c r="BK19" s="33">
        <f t="shared" si="57"/>
        <v>4.5893802798959937E-2</v>
      </c>
      <c r="BL19" s="53">
        <f t="shared" si="58"/>
        <v>373724.4471912749</v>
      </c>
      <c r="BM19" s="80">
        <f t="shared" si="59"/>
        <v>0</v>
      </c>
      <c r="BN19" s="76" t="s">
        <v>8</v>
      </c>
      <c r="BO19" s="30" t="s">
        <v>8</v>
      </c>
      <c r="BP19" s="35">
        <f t="shared" si="60"/>
        <v>0.47927973056150719</v>
      </c>
      <c r="BQ19" s="33">
        <f t="shared" si="61"/>
        <v>4.5893802798959937E-2</v>
      </c>
      <c r="BR19" s="53">
        <f t="shared" si="62"/>
        <v>373724.4471912749</v>
      </c>
      <c r="BS19" s="128">
        <f t="shared" si="63"/>
        <v>0</v>
      </c>
      <c r="BT19" s="76" t="s">
        <v>8</v>
      </c>
      <c r="BU19" s="30" t="s">
        <v>8</v>
      </c>
      <c r="BV19" s="35">
        <f t="shared" si="64"/>
        <v>0.47927973056150719</v>
      </c>
      <c r="BW19" s="33">
        <f t="shared" si="65"/>
        <v>4.5893802798959937E-2</v>
      </c>
      <c r="BX19" s="53">
        <f t="shared" si="66"/>
        <v>373724.4471912749</v>
      </c>
      <c r="BY19" s="128">
        <f t="shared" si="67"/>
        <v>0</v>
      </c>
      <c r="BZ19" s="76" t="s">
        <v>8</v>
      </c>
      <c r="CA19" s="30" t="s">
        <v>8</v>
      </c>
      <c r="CB19" s="35">
        <f t="shared" si="68"/>
        <v>0.47927973056150719</v>
      </c>
      <c r="CC19" s="33">
        <f t="shared" si="69"/>
        <v>4.5893802798959937E-2</v>
      </c>
      <c r="CD19" s="53">
        <f t="shared" si="70"/>
        <v>373724.4471912749</v>
      </c>
      <c r="CE19" s="128">
        <f t="shared" si="71"/>
        <v>0</v>
      </c>
      <c r="CF19" s="76" t="s">
        <v>8</v>
      </c>
      <c r="CG19" s="30" t="s">
        <v>8</v>
      </c>
      <c r="CH19" s="35">
        <f t="shared" si="72"/>
        <v>0.47927973056150719</v>
      </c>
      <c r="CI19" s="33">
        <f t="shared" si="73"/>
        <v>4.5893802798959937E-2</v>
      </c>
      <c r="CJ19" s="53">
        <f t="shared" si="74"/>
        <v>373724.4471912749</v>
      </c>
      <c r="CK19" s="128">
        <f t="shared" si="75"/>
        <v>0</v>
      </c>
      <c r="CL19" s="76" t="s">
        <v>8</v>
      </c>
      <c r="CM19" s="30" t="s">
        <v>8</v>
      </c>
      <c r="CN19" s="35">
        <f t="shared" si="76"/>
        <v>0.47927973056150719</v>
      </c>
      <c r="CO19" s="33">
        <f t="shared" si="77"/>
        <v>4.5893802798959937E-2</v>
      </c>
      <c r="CP19" s="53">
        <f t="shared" si="78"/>
        <v>373724.4471912749</v>
      </c>
      <c r="CQ19" s="128">
        <f t="shared" si="79"/>
        <v>0</v>
      </c>
      <c r="CR19" s="76" t="s">
        <v>8</v>
      </c>
      <c r="CS19" s="30" t="s">
        <v>8</v>
      </c>
      <c r="CT19" s="35">
        <f t="shared" si="80"/>
        <v>0.47927973056150719</v>
      </c>
      <c r="CU19" s="33">
        <f t="shared" si="81"/>
        <v>4.5893802798959937E-2</v>
      </c>
      <c r="CV19" s="53">
        <f t="shared" si="82"/>
        <v>373724.4471912749</v>
      </c>
      <c r="CW19" s="128">
        <f t="shared" si="83"/>
        <v>0</v>
      </c>
      <c r="CX19" s="76" t="s">
        <v>8</v>
      </c>
      <c r="CY19" s="30" t="s">
        <v>8</v>
      </c>
      <c r="CZ19" s="35">
        <f t="shared" si="84"/>
        <v>0.47927973056150719</v>
      </c>
      <c r="DA19" s="33">
        <f t="shared" si="85"/>
        <v>4.5893802798959937E-2</v>
      </c>
      <c r="DB19" s="53">
        <f t="shared" si="86"/>
        <v>373724.4471912749</v>
      </c>
      <c r="DC19" s="128">
        <f t="shared" si="87"/>
        <v>0</v>
      </c>
      <c r="DD19" s="76" t="s">
        <v>8</v>
      </c>
      <c r="DE19" s="30" t="s">
        <v>8</v>
      </c>
      <c r="DF19" s="35">
        <f t="shared" si="88"/>
        <v>0.47927973056150719</v>
      </c>
      <c r="DG19" s="33">
        <f t="shared" si="89"/>
        <v>4.5893802798959937E-2</v>
      </c>
      <c r="DH19" s="53">
        <f t="shared" si="90"/>
        <v>373724.4471912749</v>
      </c>
      <c r="DI19" s="128">
        <f t="shared" si="91"/>
        <v>0</v>
      </c>
      <c r="DJ19" s="76" t="s">
        <v>8</v>
      </c>
      <c r="DK19" s="30" t="s">
        <v>8</v>
      </c>
      <c r="DL19" s="35">
        <f t="shared" si="92"/>
        <v>0.47927973056150719</v>
      </c>
      <c r="DM19" s="33">
        <f t="shared" si="93"/>
        <v>4.5893802798959937E-2</v>
      </c>
      <c r="DN19" s="53">
        <f t="shared" si="94"/>
        <v>373724.4471912749</v>
      </c>
      <c r="DO19" s="128">
        <f t="shared" si="95"/>
        <v>0</v>
      </c>
      <c r="DP19" s="76" t="s">
        <v>8</v>
      </c>
      <c r="DQ19" s="30" t="s">
        <v>8</v>
      </c>
      <c r="DR19" s="35">
        <f t="shared" si="96"/>
        <v>0.47927973056150719</v>
      </c>
      <c r="DS19" s="33">
        <f t="shared" si="97"/>
        <v>4.5893802798959937E-2</v>
      </c>
      <c r="DT19" s="53">
        <f t="shared" si="98"/>
        <v>373724.4471912749</v>
      </c>
      <c r="DU19" s="128">
        <f t="shared" si="99"/>
        <v>0</v>
      </c>
      <c r="DV19" s="76" t="s">
        <v>8</v>
      </c>
      <c r="DW19" s="30" t="s">
        <v>8</v>
      </c>
      <c r="DX19" s="35">
        <f t="shared" si="100"/>
        <v>0.47927973056150719</v>
      </c>
      <c r="DY19" s="33">
        <f t="shared" si="101"/>
        <v>4.5893802798959937E-2</v>
      </c>
      <c r="DZ19" s="34">
        <f t="shared" si="102"/>
        <v>373724.4471912749</v>
      </c>
      <c r="EA19" s="80">
        <f t="shared" si="103"/>
        <v>0</v>
      </c>
      <c r="EB19" s="76" t="s">
        <v>8</v>
      </c>
      <c r="EC19" s="30" t="s">
        <v>8</v>
      </c>
      <c r="ED19" s="35">
        <f t="shared" si="104"/>
        <v>0.47927973056150719</v>
      </c>
      <c r="EE19" s="33">
        <f t="shared" si="105"/>
        <v>4.5893802798959937E-2</v>
      </c>
      <c r="EF19" s="34">
        <f t="shared" si="106"/>
        <v>373724.4471912749</v>
      </c>
      <c r="EG19" s="80">
        <f t="shared" si="107"/>
        <v>0</v>
      </c>
      <c r="EH19" s="76" t="s">
        <v>8</v>
      </c>
      <c r="EI19" s="30" t="s">
        <v>8</v>
      </c>
      <c r="EJ19" s="35">
        <f t="shared" si="108"/>
        <v>0.47927973056150719</v>
      </c>
      <c r="EK19" s="33">
        <f t="shared" si="109"/>
        <v>4.5893802798959937E-2</v>
      </c>
      <c r="EL19" s="34">
        <f t="shared" si="110"/>
        <v>373724.4471912749</v>
      </c>
      <c r="EM19" s="80">
        <f t="shared" si="111"/>
        <v>0</v>
      </c>
      <c r="EN19" s="76" t="s">
        <v>8</v>
      </c>
      <c r="EO19" s="30" t="s">
        <v>8</v>
      </c>
      <c r="EP19" s="35">
        <f t="shared" si="112"/>
        <v>0.47927973056150719</v>
      </c>
      <c r="EQ19" s="33">
        <f t="shared" si="113"/>
        <v>4.5893802798959937E-2</v>
      </c>
      <c r="ER19" s="34">
        <f t="shared" si="114"/>
        <v>373724.4471912749</v>
      </c>
      <c r="ES19" s="80">
        <f t="shared" si="115"/>
        <v>0</v>
      </c>
      <c r="ET19" s="76" t="s">
        <v>8</v>
      </c>
      <c r="EU19" s="30" t="s">
        <v>8</v>
      </c>
      <c r="EV19" s="35">
        <f t="shared" si="116"/>
        <v>0.47927973056150719</v>
      </c>
      <c r="EW19" s="33">
        <f t="shared" si="117"/>
        <v>4.5893802798959937E-2</v>
      </c>
      <c r="EX19" s="34">
        <f t="shared" si="118"/>
        <v>373724.4471912749</v>
      </c>
      <c r="EY19" s="80">
        <f t="shared" si="119"/>
        <v>0</v>
      </c>
      <c r="EZ19" s="76" t="s">
        <v>8</v>
      </c>
      <c r="FA19" s="30" t="s">
        <v>8</v>
      </c>
      <c r="FB19" s="35">
        <f t="shared" si="120"/>
        <v>0.47927973056150719</v>
      </c>
      <c r="FC19" s="33">
        <f t="shared" si="121"/>
        <v>4.5893802798959937E-2</v>
      </c>
      <c r="FD19" s="34">
        <f t="shared" si="122"/>
        <v>373724.4471912749</v>
      </c>
      <c r="FE19" s="80">
        <f t="shared" si="123"/>
        <v>0</v>
      </c>
      <c r="FF19" s="76" t="s">
        <v>8</v>
      </c>
      <c r="FG19" s="30" t="s">
        <v>8</v>
      </c>
      <c r="FH19" s="35">
        <f t="shared" si="124"/>
        <v>0.47927973056150719</v>
      </c>
      <c r="FI19" s="33">
        <f t="shared" si="125"/>
        <v>4.5893802798959937E-2</v>
      </c>
      <c r="FJ19" s="34">
        <f t="shared" si="126"/>
        <v>373724.4471912749</v>
      </c>
      <c r="FK19" s="80">
        <f t="shared" si="127"/>
        <v>0</v>
      </c>
      <c r="FL19" s="76" t="s">
        <v>8</v>
      </c>
      <c r="FM19" s="30" t="s">
        <v>8</v>
      </c>
      <c r="FN19" s="35">
        <f t="shared" si="128"/>
        <v>0.47927973056150719</v>
      </c>
      <c r="FO19" s="33">
        <f t="shared" si="129"/>
        <v>4.5893802798959937E-2</v>
      </c>
      <c r="FP19" s="34">
        <f t="shared" si="130"/>
        <v>373724.4471912749</v>
      </c>
      <c r="FQ19" s="80">
        <f t="shared" si="131"/>
        <v>0</v>
      </c>
      <c r="FR19" s="76" t="s">
        <v>8</v>
      </c>
      <c r="FS19" s="30" t="s">
        <v>8</v>
      </c>
      <c r="FT19" s="35">
        <f t="shared" si="132"/>
        <v>0.47927973056150719</v>
      </c>
      <c r="FU19" s="33">
        <f t="shared" si="133"/>
        <v>4.5893802798959937E-2</v>
      </c>
      <c r="FV19" s="34">
        <f t="shared" si="134"/>
        <v>373724.4471912749</v>
      </c>
      <c r="FW19" s="80">
        <f t="shared" si="135"/>
        <v>0</v>
      </c>
      <c r="FX19" s="76" t="s">
        <v>8</v>
      </c>
      <c r="FY19" s="30" t="s">
        <v>8</v>
      </c>
      <c r="FZ19" s="35">
        <f t="shared" si="136"/>
        <v>0.47927973056150719</v>
      </c>
      <c r="GA19" s="33">
        <f t="shared" si="137"/>
        <v>4.5893802798959937E-2</v>
      </c>
      <c r="GB19" s="34">
        <f t="shared" si="138"/>
        <v>373724.4471912749</v>
      </c>
      <c r="GC19" s="80">
        <f t="shared" si="139"/>
        <v>0</v>
      </c>
      <c r="GD19" s="76" t="s">
        <v>8</v>
      </c>
      <c r="GE19" s="30" t="s">
        <v>8</v>
      </c>
      <c r="GF19" s="35">
        <f t="shared" si="140"/>
        <v>0.47927973056150719</v>
      </c>
      <c r="GG19" s="33">
        <f t="shared" si="141"/>
        <v>4.5893802798959937E-2</v>
      </c>
      <c r="GH19" s="34">
        <f t="shared" si="142"/>
        <v>373724.4471912749</v>
      </c>
      <c r="GI19" s="128">
        <f t="shared" si="143"/>
        <v>0</v>
      </c>
      <c r="GJ19" s="176">
        <f t="shared" si="146"/>
        <v>1418258.2712005118</v>
      </c>
      <c r="GK19" s="99">
        <f t="shared" si="144"/>
        <v>1514860.7382184078</v>
      </c>
      <c r="GL19" s="217">
        <f t="shared" si="145"/>
        <v>0.47927973056150719</v>
      </c>
      <c r="GM19" s="231">
        <f t="shared" si="147"/>
        <v>1514860.74</v>
      </c>
      <c r="GN19" s="234"/>
    </row>
    <row r="20" spans="1:196" ht="15.75" x14ac:dyDescent="0.25">
      <c r="A20" s="162" t="s">
        <v>185</v>
      </c>
      <c r="B20" s="164" t="s">
        <v>8</v>
      </c>
      <c r="C20" s="164" t="s">
        <v>8</v>
      </c>
      <c r="D20" s="164" t="s">
        <v>8</v>
      </c>
      <c r="E20" s="164" t="s">
        <v>8</v>
      </c>
      <c r="F20" s="164" t="s">
        <v>8</v>
      </c>
      <c r="G20" s="108">
        <f>'Исходные данные'!C22</f>
        <v>722</v>
      </c>
      <c r="H20" s="31">
        <f>'Исходные данные'!F22</f>
        <v>145863.08401174177</v>
      </c>
      <c r="I20" s="32">
        <f>'Расчет КРП'!G18</f>
        <v>4.5878320525422218</v>
      </c>
      <c r="J20" s="115" t="s">
        <v>8</v>
      </c>
      <c r="K20" s="119">
        <f t="shared" si="22"/>
        <v>3.2406233593162671E-2</v>
      </c>
      <c r="L20" s="77">
        <f t="shared" si="23"/>
        <v>132347.21287840776</v>
      </c>
      <c r="M20" s="73">
        <f t="shared" si="24"/>
        <v>6.180966164351475E-2</v>
      </c>
      <c r="N20" s="30" t="s">
        <v>8</v>
      </c>
      <c r="O20" s="33">
        <f t="shared" si="25"/>
        <v>9.1155539439151279E-2</v>
      </c>
      <c r="P20" s="34">
        <f t="shared" si="26"/>
        <v>465646.91036257782</v>
      </c>
      <c r="Q20" s="80">
        <f t="shared" si="27"/>
        <v>465646.91036257782</v>
      </c>
      <c r="R20" s="169" t="s">
        <v>8</v>
      </c>
      <c r="S20" s="30" t="s">
        <v>8</v>
      </c>
      <c r="T20" s="35">
        <f t="shared" si="28"/>
        <v>0.16526190009974723</v>
      </c>
      <c r="U20" s="33">
        <f t="shared" si="29"/>
        <v>8.9217724681961319E-2</v>
      </c>
      <c r="V20" s="53">
        <f t="shared" si="30"/>
        <v>584763.48066210654</v>
      </c>
      <c r="W20" s="80">
        <f t="shared" si="31"/>
        <v>584763.48066210654</v>
      </c>
      <c r="X20" s="76" t="s">
        <v>8</v>
      </c>
      <c r="Y20" s="30" t="s">
        <v>8</v>
      </c>
      <c r="Z20" s="35">
        <f t="shared" si="32"/>
        <v>0.29517812996337495</v>
      </c>
      <c r="AA20" s="33">
        <f t="shared" si="33"/>
        <v>6.9843489595425023E-2</v>
      </c>
      <c r="AB20" s="53">
        <f t="shared" si="34"/>
        <v>572898.94189560984</v>
      </c>
      <c r="AC20" s="80">
        <f t="shared" si="35"/>
        <v>572898.94189560984</v>
      </c>
      <c r="AD20" s="76" t="s">
        <v>8</v>
      </c>
      <c r="AE20" s="30" t="s">
        <v>8</v>
      </c>
      <c r="AF20" s="35">
        <f t="shared" si="36"/>
        <v>0.42245842889665658</v>
      </c>
      <c r="AG20" s="33">
        <f t="shared" si="37"/>
        <v>5.4044284199061876E-2</v>
      </c>
      <c r="AH20" s="53">
        <f t="shared" si="38"/>
        <v>532278.9009908234</v>
      </c>
      <c r="AI20" s="80">
        <f t="shared" si="39"/>
        <v>255660.16431572876</v>
      </c>
      <c r="AJ20" s="76" t="s">
        <v>8</v>
      </c>
      <c r="AK20" s="30" t="s">
        <v>8</v>
      </c>
      <c r="AL20" s="35">
        <f t="shared" si="40"/>
        <v>0.47925815352482182</v>
      </c>
      <c r="AM20" s="33">
        <f t="shared" si="41"/>
        <v>4.5915379835645309E-2</v>
      </c>
      <c r="AN20" s="53">
        <f t="shared" si="42"/>
        <v>485460.96498644294</v>
      </c>
      <c r="AO20" s="80">
        <f t="shared" si="43"/>
        <v>0</v>
      </c>
      <c r="AP20" s="76" t="s">
        <v>8</v>
      </c>
      <c r="AQ20" s="30" t="s">
        <v>8</v>
      </c>
      <c r="AR20" s="35">
        <f t="shared" si="44"/>
        <v>0.47925815352482182</v>
      </c>
      <c r="AS20" s="33">
        <f t="shared" si="45"/>
        <v>4.5915379835645309E-2</v>
      </c>
      <c r="AT20" s="53">
        <f t="shared" si="46"/>
        <v>485460.96498644294</v>
      </c>
      <c r="AU20" s="80">
        <f t="shared" si="47"/>
        <v>0</v>
      </c>
      <c r="AV20" s="76" t="s">
        <v>8</v>
      </c>
      <c r="AW20" s="30" t="s">
        <v>8</v>
      </c>
      <c r="AX20" s="35">
        <f t="shared" si="48"/>
        <v>0.47925815352482182</v>
      </c>
      <c r="AY20" s="33">
        <f t="shared" si="49"/>
        <v>4.5915379835645309E-2</v>
      </c>
      <c r="AZ20" s="53">
        <f t="shared" si="50"/>
        <v>485460.96498644294</v>
      </c>
      <c r="BA20" s="80">
        <f t="shared" si="51"/>
        <v>0</v>
      </c>
      <c r="BB20" s="76" t="s">
        <v>8</v>
      </c>
      <c r="BC20" s="30" t="s">
        <v>8</v>
      </c>
      <c r="BD20" s="35">
        <f t="shared" si="52"/>
        <v>0.47925815352482182</v>
      </c>
      <c r="BE20" s="33">
        <f t="shared" si="53"/>
        <v>4.5915379835645309E-2</v>
      </c>
      <c r="BF20" s="53">
        <f t="shared" si="54"/>
        <v>485460.96498644294</v>
      </c>
      <c r="BG20" s="80">
        <f t="shared" si="55"/>
        <v>0</v>
      </c>
      <c r="BH20" s="76" t="s">
        <v>8</v>
      </c>
      <c r="BI20" s="30" t="s">
        <v>8</v>
      </c>
      <c r="BJ20" s="35">
        <f t="shared" si="56"/>
        <v>0.47925815352482182</v>
      </c>
      <c r="BK20" s="33">
        <f t="shared" si="57"/>
        <v>4.5915379835645309E-2</v>
      </c>
      <c r="BL20" s="53">
        <f t="shared" si="58"/>
        <v>485460.96498644294</v>
      </c>
      <c r="BM20" s="80">
        <f t="shared" si="59"/>
        <v>0</v>
      </c>
      <c r="BN20" s="76" t="s">
        <v>8</v>
      </c>
      <c r="BO20" s="30" t="s">
        <v>8</v>
      </c>
      <c r="BP20" s="35">
        <f t="shared" si="60"/>
        <v>0.47925815352482182</v>
      </c>
      <c r="BQ20" s="33">
        <f t="shared" si="61"/>
        <v>4.5915379835645309E-2</v>
      </c>
      <c r="BR20" s="53">
        <f t="shared" si="62"/>
        <v>485460.96498644294</v>
      </c>
      <c r="BS20" s="128">
        <f t="shared" si="63"/>
        <v>0</v>
      </c>
      <c r="BT20" s="76" t="s">
        <v>8</v>
      </c>
      <c r="BU20" s="30" t="s">
        <v>8</v>
      </c>
      <c r="BV20" s="35">
        <f t="shared" si="64"/>
        <v>0.47925815352482182</v>
      </c>
      <c r="BW20" s="33">
        <f t="shared" si="65"/>
        <v>4.5915379835645309E-2</v>
      </c>
      <c r="BX20" s="53">
        <f t="shared" si="66"/>
        <v>485460.96498644294</v>
      </c>
      <c r="BY20" s="128">
        <f t="shared" si="67"/>
        <v>0</v>
      </c>
      <c r="BZ20" s="76" t="s">
        <v>8</v>
      </c>
      <c r="CA20" s="30" t="s">
        <v>8</v>
      </c>
      <c r="CB20" s="35">
        <f t="shared" si="68"/>
        <v>0.47925815352482182</v>
      </c>
      <c r="CC20" s="33">
        <f t="shared" si="69"/>
        <v>4.5915379835645309E-2</v>
      </c>
      <c r="CD20" s="53">
        <f t="shared" si="70"/>
        <v>485460.96498644294</v>
      </c>
      <c r="CE20" s="128">
        <f t="shared" si="71"/>
        <v>0</v>
      </c>
      <c r="CF20" s="76" t="s">
        <v>8</v>
      </c>
      <c r="CG20" s="30" t="s">
        <v>8</v>
      </c>
      <c r="CH20" s="35">
        <f t="shared" si="72"/>
        <v>0.47925815352482182</v>
      </c>
      <c r="CI20" s="33">
        <f t="shared" si="73"/>
        <v>4.5915379835645309E-2</v>
      </c>
      <c r="CJ20" s="53">
        <f t="shared" si="74"/>
        <v>485460.96498644294</v>
      </c>
      <c r="CK20" s="128">
        <f t="shared" si="75"/>
        <v>0</v>
      </c>
      <c r="CL20" s="76" t="s">
        <v>8</v>
      </c>
      <c r="CM20" s="30" t="s">
        <v>8</v>
      </c>
      <c r="CN20" s="35">
        <f t="shared" si="76"/>
        <v>0.47925815352482182</v>
      </c>
      <c r="CO20" s="33">
        <f t="shared" si="77"/>
        <v>4.5915379835645309E-2</v>
      </c>
      <c r="CP20" s="53">
        <f t="shared" si="78"/>
        <v>485460.96498644294</v>
      </c>
      <c r="CQ20" s="128">
        <f t="shared" si="79"/>
        <v>0</v>
      </c>
      <c r="CR20" s="76" t="s">
        <v>8</v>
      </c>
      <c r="CS20" s="30" t="s">
        <v>8</v>
      </c>
      <c r="CT20" s="35">
        <f t="shared" si="80"/>
        <v>0.47925815352482182</v>
      </c>
      <c r="CU20" s="33">
        <f t="shared" si="81"/>
        <v>4.5915379835645309E-2</v>
      </c>
      <c r="CV20" s="53">
        <f t="shared" si="82"/>
        <v>485460.96498644294</v>
      </c>
      <c r="CW20" s="128">
        <f t="shared" si="83"/>
        <v>0</v>
      </c>
      <c r="CX20" s="76" t="s">
        <v>8</v>
      </c>
      <c r="CY20" s="30" t="s">
        <v>8</v>
      </c>
      <c r="CZ20" s="35">
        <f t="shared" si="84"/>
        <v>0.47925815352482182</v>
      </c>
      <c r="DA20" s="33">
        <f t="shared" si="85"/>
        <v>4.5915379835645309E-2</v>
      </c>
      <c r="DB20" s="53">
        <f t="shared" si="86"/>
        <v>485460.96498644294</v>
      </c>
      <c r="DC20" s="128">
        <f t="shared" si="87"/>
        <v>0</v>
      </c>
      <c r="DD20" s="76" t="s">
        <v>8</v>
      </c>
      <c r="DE20" s="30" t="s">
        <v>8</v>
      </c>
      <c r="DF20" s="35">
        <f t="shared" si="88"/>
        <v>0.47925815352482182</v>
      </c>
      <c r="DG20" s="33">
        <f t="shared" si="89"/>
        <v>4.5915379835645309E-2</v>
      </c>
      <c r="DH20" s="53">
        <f t="shared" si="90"/>
        <v>485460.96498644294</v>
      </c>
      <c r="DI20" s="128">
        <f t="shared" si="91"/>
        <v>0</v>
      </c>
      <c r="DJ20" s="76" t="s">
        <v>8</v>
      </c>
      <c r="DK20" s="30" t="s">
        <v>8</v>
      </c>
      <c r="DL20" s="35">
        <f t="shared" si="92"/>
        <v>0.47925815352482182</v>
      </c>
      <c r="DM20" s="33">
        <f t="shared" si="93"/>
        <v>4.5915379835645309E-2</v>
      </c>
      <c r="DN20" s="53">
        <f t="shared" si="94"/>
        <v>485460.96498644294</v>
      </c>
      <c r="DO20" s="128">
        <f t="shared" si="95"/>
        <v>0</v>
      </c>
      <c r="DP20" s="76" t="s">
        <v>8</v>
      </c>
      <c r="DQ20" s="30" t="s">
        <v>8</v>
      </c>
      <c r="DR20" s="35">
        <f t="shared" si="96"/>
        <v>0.47925815352482182</v>
      </c>
      <c r="DS20" s="33">
        <f t="shared" si="97"/>
        <v>4.5915379835645309E-2</v>
      </c>
      <c r="DT20" s="53">
        <f t="shared" si="98"/>
        <v>485460.96498644294</v>
      </c>
      <c r="DU20" s="128">
        <f t="shared" si="99"/>
        <v>0</v>
      </c>
      <c r="DV20" s="76" t="s">
        <v>8</v>
      </c>
      <c r="DW20" s="30" t="s">
        <v>8</v>
      </c>
      <c r="DX20" s="35">
        <f t="shared" si="100"/>
        <v>0.47925815352482182</v>
      </c>
      <c r="DY20" s="33">
        <f t="shared" si="101"/>
        <v>4.5915379835645309E-2</v>
      </c>
      <c r="DZ20" s="34">
        <f t="shared" si="102"/>
        <v>485460.96498644294</v>
      </c>
      <c r="EA20" s="80">
        <f t="shared" si="103"/>
        <v>0</v>
      </c>
      <c r="EB20" s="76" t="s">
        <v>8</v>
      </c>
      <c r="EC20" s="30" t="s">
        <v>8</v>
      </c>
      <c r="ED20" s="35">
        <f t="shared" si="104"/>
        <v>0.47925815352482182</v>
      </c>
      <c r="EE20" s="33">
        <f t="shared" si="105"/>
        <v>4.5915379835645309E-2</v>
      </c>
      <c r="EF20" s="34">
        <f t="shared" si="106"/>
        <v>485460.96498644294</v>
      </c>
      <c r="EG20" s="80">
        <f t="shared" si="107"/>
        <v>0</v>
      </c>
      <c r="EH20" s="76" t="s">
        <v>8</v>
      </c>
      <c r="EI20" s="30" t="s">
        <v>8</v>
      </c>
      <c r="EJ20" s="35">
        <f t="shared" si="108"/>
        <v>0.47925815352482182</v>
      </c>
      <c r="EK20" s="33">
        <f t="shared" si="109"/>
        <v>4.5915379835645309E-2</v>
      </c>
      <c r="EL20" s="34">
        <f t="shared" si="110"/>
        <v>485460.96498644294</v>
      </c>
      <c r="EM20" s="80">
        <f t="shared" si="111"/>
        <v>0</v>
      </c>
      <c r="EN20" s="76" t="s">
        <v>8</v>
      </c>
      <c r="EO20" s="30" t="s">
        <v>8</v>
      </c>
      <c r="EP20" s="35">
        <f t="shared" si="112"/>
        <v>0.47925815352482182</v>
      </c>
      <c r="EQ20" s="33">
        <f t="shared" si="113"/>
        <v>4.5915379835645309E-2</v>
      </c>
      <c r="ER20" s="34">
        <f t="shared" si="114"/>
        <v>485460.96498644294</v>
      </c>
      <c r="ES20" s="80">
        <f t="shared" si="115"/>
        <v>0</v>
      </c>
      <c r="ET20" s="76" t="s">
        <v>8</v>
      </c>
      <c r="EU20" s="30" t="s">
        <v>8</v>
      </c>
      <c r="EV20" s="35">
        <f t="shared" si="116"/>
        <v>0.47925815352482182</v>
      </c>
      <c r="EW20" s="33">
        <f t="shared" si="117"/>
        <v>4.5915379835645309E-2</v>
      </c>
      <c r="EX20" s="34">
        <f t="shared" si="118"/>
        <v>485460.96498644294</v>
      </c>
      <c r="EY20" s="80">
        <f t="shared" si="119"/>
        <v>0</v>
      </c>
      <c r="EZ20" s="76" t="s">
        <v>8</v>
      </c>
      <c r="FA20" s="30" t="s">
        <v>8</v>
      </c>
      <c r="FB20" s="35">
        <f t="shared" si="120"/>
        <v>0.47925815352482182</v>
      </c>
      <c r="FC20" s="33">
        <f t="shared" si="121"/>
        <v>4.5915379835645309E-2</v>
      </c>
      <c r="FD20" s="34">
        <f t="shared" si="122"/>
        <v>485460.96498644294</v>
      </c>
      <c r="FE20" s="80">
        <f t="shared" si="123"/>
        <v>0</v>
      </c>
      <c r="FF20" s="76" t="s">
        <v>8</v>
      </c>
      <c r="FG20" s="30" t="s">
        <v>8</v>
      </c>
      <c r="FH20" s="35">
        <f t="shared" si="124"/>
        <v>0.47925815352482182</v>
      </c>
      <c r="FI20" s="33">
        <f t="shared" si="125"/>
        <v>4.5915379835645309E-2</v>
      </c>
      <c r="FJ20" s="34">
        <f t="shared" si="126"/>
        <v>485460.96498644294</v>
      </c>
      <c r="FK20" s="80">
        <f t="shared" si="127"/>
        <v>0</v>
      </c>
      <c r="FL20" s="76" t="s">
        <v>8</v>
      </c>
      <c r="FM20" s="30" t="s">
        <v>8</v>
      </c>
      <c r="FN20" s="35">
        <f t="shared" si="128"/>
        <v>0.47925815352482182</v>
      </c>
      <c r="FO20" s="33">
        <f t="shared" si="129"/>
        <v>4.5915379835645309E-2</v>
      </c>
      <c r="FP20" s="34">
        <f t="shared" si="130"/>
        <v>485460.96498644294</v>
      </c>
      <c r="FQ20" s="80">
        <f t="shared" si="131"/>
        <v>0</v>
      </c>
      <c r="FR20" s="76" t="s">
        <v>8</v>
      </c>
      <c r="FS20" s="30" t="s">
        <v>8</v>
      </c>
      <c r="FT20" s="35">
        <f t="shared" si="132"/>
        <v>0.47925815352482182</v>
      </c>
      <c r="FU20" s="33">
        <f t="shared" si="133"/>
        <v>4.5915379835645309E-2</v>
      </c>
      <c r="FV20" s="34">
        <f t="shared" si="134"/>
        <v>485460.96498644294</v>
      </c>
      <c r="FW20" s="80">
        <f t="shared" si="135"/>
        <v>0</v>
      </c>
      <c r="FX20" s="76" t="s">
        <v>8</v>
      </c>
      <c r="FY20" s="30" t="s">
        <v>8</v>
      </c>
      <c r="FZ20" s="35">
        <f t="shared" si="136"/>
        <v>0.47925815352482182</v>
      </c>
      <c r="GA20" s="33">
        <f t="shared" si="137"/>
        <v>4.5915379835645309E-2</v>
      </c>
      <c r="GB20" s="34">
        <f t="shared" si="138"/>
        <v>485460.96498644294</v>
      </c>
      <c r="GC20" s="80">
        <f t="shared" si="139"/>
        <v>0</v>
      </c>
      <c r="GD20" s="76" t="s">
        <v>8</v>
      </c>
      <c r="GE20" s="30" t="s">
        <v>8</v>
      </c>
      <c r="GF20" s="35">
        <f t="shared" si="140"/>
        <v>0.47925815352482182</v>
      </c>
      <c r="GG20" s="33">
        <f t="shared" si="141"/>
        <v>4.5915379835645309E-2</v>
      </c>
      <c r="GH20" s="34">
        <f t="shared" si="142"/>
        <v>485460.96498644294</v>
      </c>
      <c r="GI20" s="128">
        <f t="shared" si="143"/>
        <v>0</v>
      </c>
      <c r="GJ20" s="176">
        <f t="shared" si="146"/>
        <v>1878969.497236023</v>
      </c>
      <c r="GK20" s="99">
        <f t="shared" si="144"/>
        <v>2011316.7101144306</v>
      </c>
      <c r="GL20" s="217">
        <f t="shared" si="145"/>
        <v>0.47925815352482176</v>
      </c>
      <c r="GM20" s="231">
        <f t="shared" si="147"/>
        <v>2011316.71</v>
      </c>
      <c r="GN20" s="234"/>
    </row>
    <row r="21" spans="1:196" ht="31.5" x14ac:dyDescent="0.25">
      <c r="A21" s="162" t="s">
        <v>186</v>
      </c>
      <c r="B21" s="165" t="s">
        <v>8</v>
      </c>
      <c r="C21" s="165" t="s">
        <v>8</v>
      </c>
      <c r="D21" s="165" t="s">
        <v>8</v>
      </c>
      <c r="E21" s="165" t="s">
        <v>8</v>
      </c>
      <c r="F21" s="165" t="s">
        <v>8</v>
      </c>
      <c r="G21" s="147">
        <f>'Исходные данные'!C23</f>
        <v>6867</v>
      </c>
      <c r="H21" s="148">
        <f>'Исходные данные'!F23</f>
        <v>14689883.338451348</v>
      </c>
      <c r="I21" s="149">
        <f>'Расчет КРП'!G19</f>
        <v>2.6390247560798024</v>
      </c>
      <c r="J21" s="150" t="s">
        <v>8</v>
      </c>
      <c r="K21" s="151">
        <f t="shared" si="22"/>
        <v>0.59653469877578014</v>
      </c>
      <c r="L21" s="152">
        <f t="shared" si="23"/>
        <v>1258764.9734570996</v>
      </c>
      <c r="M21" s="153">
        <f t="shared" si="24"/>
        <v>0.64765130514835978</v>
      </c>
      <c r="N21" s="154" t="s">
        <v>8</v>
      </c>
      <c r="O21" s="155">
        <f t="shared" si="25"/>
        <v>-0.49468610406569374</v>
      </c>
      <c r="P21" s="34">
        <f t="shared" si="26"/>
        <v>0</v>
      </c>
      <c r="Q21" s="156">
        <f t="shared" si="27"/>
        <v>0</v>
      </c>
      <c r="R21" s="170" t="s">
        <v>8</v>
      </c>
      <c r="S21" s="154" t="s">
        <v>8</v>
      </c>
      <c r="T21" s="157">
        <f t="shared" si="28"/>
        <v>0.64765130514835978</v>
      </c>
      <c r="U21" s="155">
        <f t="shared" si="29"/>
        <v>-0.39317168036665123</v>
      </c>
      <c r="V21" s="53">
        <f t="shared" si="30"/>
        <v>0</v>
      </c>
      <c r="W21" s="156">
        <f t="shared" si="31"/>
        <v>0</v>
      </c>
      <c r="X21" s="146" t="s">
        <v>8</v>
      </c>
      <c r="Y21" s="154" t="s">
        <v>8</v>
      </c>
      <c r="Z21" s="157">
        <f t="shared" si="32"/>
        <v>0.64765130514835978</v>
      </c>
      <c r="AA21" s="155">
        <f t="shared" si="33"/>
        <v>-0.28262968558955981</v>
      </c>
      <c r="AB21" s="53">
        <f t="shared" si="34"/>
        <v>0</v>
      </c>
      <c r="AC21" s="156">
        <f t="shared" si="35"/>
        <v>0</v>
      </c>
      <c r="AD21" s="146" t="s">
        <v>8</v>
      </c>
      <c r="AE21" s="154" t="s">
        <v>8</v>
      </c>
      <c r="AF21" s="157">
        <f t="shared" si="36"/>
        <v>0.64765130514835978</v>
      </c>
      <c r="AG21" s="155">
        <f t="shared" si="37"/>
        <v>-0.17114859205264132</v>
      </c>
      <c r="AH21" s="53">
        <f t="shared" si="38"/>
        <v>0</v>
      </c>
      <c r="AI21" s="156">
        <f t="shared" si="39"/>
        <v>0</v>
      </c>
      <c r="AJ21" s="146" t="s">
        <v>8</v>
      </c>
      <c r="AK21" s="154" t="s">
        <v>8</v>
      </c>
      <c r="AL21" s="157">
        <f t="shared" si="40"/>
        <v>0.64765130514835978</v>
      </c>
      <c r="AM21" s="155">
        <f t="shared" si="41"/>
        <v>-0.12247777178789265</v>
      </c>
      <c r="AN21" s="53">
        <f t="shared" si="42"/>
        <v>0</v>
      </c>
      <c r="AO21" s="156">
        <f t="shared" si="43"/>
        <v>0</v>
      </c>
      <c r="AP21" s="146" t="s">
        <v>8</v>
      </c>
      <c r="AQ21" s="154" t="s">
        <v>8</v>
      </c>
      <c r="AR21" s="157">
        <f t="shared" si="44"/>
        <v>0.64765130514835978</v>
      </c>
      <c r="AS21" s="155">
        <f t="shared" si="45"/>
        <v>-0.12247777178789265</v>
      </c>
      <c r="AT21" s="53">
        <f t="shared" si="46"/>
        <v>0</v>
      </c>
      <c r="AU21" s="156">
        <f t="shared" si="47"/>
        <v>0</v>
      </c>
      <c r="AV21" s="146" t="s">
        <v>8</v>
      </c>
      <c r="AW21" s="154" t="s">
        <v>8</v>
      </c>
      <c r="AX21" s="157">
        <f t="shared" si="48"/>
        <v>0.64765130514835978</v>
      </c>
      <c r="AY21" s="155">
        <f t="shared" si="49"/>
        <v>-0.12247777178789265</v>
      </c>
      <c r="AZ21" s="53">
        <f t="shared" si="50"/>
        <v>0</v>
      </c>
      <c r="BA21" s="156">
        <f t="shared" si="51"/>
        <v>0</v>
      </c>
      <c r="BB21" s="146" t="s">
        <v>8</v>
      </c>
      <c r="BC21" s="154" t="s">
        <v>8</v>
      </c>
      <c r="BD21" s="157">
        <f t="shared" si="52"/>
        <v>0.64765130514835978</v>
      </c>
      <c r="BE21" s="155">
        <f t="shared" si="53"/>
        <v>-0.12247777178789265</v>
      </c>
      <c r="BF21" s="53">
        <f t="shared" si="54"/>
        <v>0</v>
      </c>
      <c r="BG21" s="156">
        <f t="shared" si="55"/>
        <v>0</v>
      </c>
      <c r="BH21" s="146" t="s">
        <v>8</v>
      </c>
      <c r="BI21" s="154" t="s">
        <v>8</v>
      </c>
      <c r="BJ21" s="157">
        <f t="shared" si="56"/>
        <v>0.64765130514835978</v>
      </c>
      <c r="BK21" s="155">
        <f t="shared" si="57"/>
        <v>-0.12247777178789265</v>
      </c>
      <c r="BL21" s="53">
        <f t="shared" si="58"/>
        <v>0</v>
      </c>
      <c r="BM21" s="156">
        <f t="shared" si="59"/>
        <v>0</v>
      </c>
      <c r="BN21" s="146" t="s">
        <v>8</v>
      </c>
      <c r="BO21" s="154" t="s">
        <v>8</v>
      </c>
      <c r="BP21" s="157">
        <f t="shared" si="60"/>
        <v>0.64765130514835978</v>
      </c>
      <c r="BQ21" s="155">
        <f t="shared" si="61"/>
        <v>-0.12247777178789265</v>
      </c>
      <c r="BR21" s="53">
        <f t="shared" si="62"/>
        <v>0</v>
      </c>
      <c r="BS21" s="158">
        <f t="shared" si="63"/>
        <v>0</v>
      </c>
      <c r="BT21" s="146" t="s">
        <v>8</v>
      </c>
      <c r="BU21" s="154" t="s">
        <v>8</v>
      </c>
      <c r="BV21" s="157">
        <f t="shared" si="64"/>
        <v>0.64765130514835978</v>
      </c>
      <c r="BW21" s="155">
        <f t="shared" si="65"/>
        <v>-0.12247777178789265</v>
      </c>
      <c r="BX21" s="53">
        <f t="shared" si="66"/>
        <v>0</v>
      </c>
      <c r="BY21" s="158">
        <f t="shared" si="67"/>
        <v>0</v>
      </c>
      <c r="BZ21" s="146" t="s">
        <v>8</v>
      </c>
      <c r="CA21" s="154" t="s">
        <v>8</v>
      </c>
      <c r="CB21" s="157">
        <f t="shared" si="68"/>
        <v>0.64765130514835978</v>
      </c>
      <c r="CC21" s="155">
        <f t="shared" si="69"/>
        <v>-0.12247777178789265</v>
      </c>
      <c r="CD21" s="53">
        <f t="shared" si="70"/>
        <v>0</v>
      </c>
      <c r="CE21" s="158">
        <f t="shared" si="71"/>
        <v>0</v>
      </c>
      <c r="CF21" s="146" t="s">
        <v>8</v>
      </c>
      <c r="CG21" s="154" t="s">
        <v>8</v>
      </c>
      <c r="CH21" s="157">
        <f t="shared" si="72"/>
        <v>0.64765130514835978</v>
      </c>
      <c r="CI21" s="155">
        <f t="shared" si="73"/>
        <v>-0.12247777178789265</v>
      </c>
      <c r="CJ21" s="53">
        <f t="shared" si="74"/>
        <v>0</v>
      </c>
      <c r="CK21" s="158">
        <f t="shared" si="75"/>
        <v>0</v>
      </c>
      <c r="CL21" s="146" t="s">
        <v>8</v>
      </c>
      <c r="CM21" s="154" t="s">
        <v>8</v>
      </c>
      <c r="CN21" s="157">
        <f t="shared" si="76"/>
        <v>0.64765130514835978</v>
      </c>
      <c r="CO21" s="155">
        <f t="shared" si="77"/>
        <v>-0.12247777178789265</v>
      </c>
      <c r="CP21" s="53">
        <f t="shared" si="78"/>
        <v>0</v>
      </c>
      <c r="CQ21" s="158">
        <f t="shared" si="79"/>
        <v>0</v>
      </c>
      <c r="CR21" s="146" t="s">
        <v>8</v>
      </c>
      <c r="CS21" s="154" t="s">
        <v>8</v>
      </c>
      <c r="CT21" s="157">
        <f t="shared" si="80"/>
        <v>0.64765130514835978</v>
      </c>
      <c r="CU21" s="155">
        <f t="shared" si="81"/>
        <v>-0.12247777178789265</v>
      </c>
      <c r="CV21" s="53">
        <f t="shared" si="82"/>
        <v>0</v>
      </c>
      <c r="CW21" s="158">
        <f t="shared" si="83"/>
        <v>0</v>
      </c>
      <c r="CX21" s="146" t="s">
        <v>8</v>
      </c>
      <c r="CY21" s="154" t="s">
        <v>8</v>
      </c>
      <c r="CZ21" s="157">
        <f t="shared" si="84"/>
        <v>0.64765130514835978</v>
      </c>
      <c r="DA21" s="155">
        <f t="shared" si="85"/>
        <v>-0.12247777178789265</v>
      </c>
      <c r="DB21" s="53">
        <f t="shared" si="86"/>
        <v>0</v>
      </c>
      <c r="DC21" s="158">
        <f t="shared" si="87"/>
        <v>0</v>
      </c>
      <c r="DD21" s="146" t="s">
        <v>8</v>
      </c>
      <c r="DE21" s="154" t="s">
        <v>8</v>
      </c>
      <c r="DF21" s="157">
        <f t="shared" si="88"/>
        <v>0.64765130514835978</v>
      </c>
      <c r="DG21" s="155">
        <f t="shared" si="89"/>
        <v>-0.12247777178789265</v>
      </c>
      <c r="DH21" s="53">
        <f t="shared" si="90"/>
        <v>0</v>
      </c>
      <c r="DI21" s="158">
        <f t="shared" si="91"/>
        <v>0</v>
      </c>
      <c r="DJ21" s="146" t="s">
        <v>8</v>
      </c>
      <c r="DK21" s="154" t="s">
        <v>8</v>
      </c>
      <c r="DL21" s="157">
        <f t="shared" si="92"/>
        <v>0.64765130514835978</v>
      </c>
      <c r="DM21" s="155">
        <f t="shared" si="93"/>
        <v>-0.12247777178789265</v>
      </c>
      <c r="DN21" s="53">
        <f t="shared" si="94"/>
        <v>0</v>
      </c>
      <c r="DO21" s="158">
        <f t="shared" si="95"/>
        <v>0</v>
      </c>
      <c r="DP21" s="146" t="s">
        <v>8</v>
      </c>
      <c r="DQ21" s="154" t="s">
        <v>8</v>
      </c>
      <c r="DR21" s="157">
        <f t="shared" si="96"/>
        <v>0.64765130514835978</v>
      </c>
      <c r="DS21" s="155">
        <f t="shared" si="97"/>
        <v>-0.12247777178789265</v>
      </c>
      <c r="DT21" s="53">
        <f t="shared" si="98"/>
        <v>0</v>
      </c>
      <c r="DU21" s="158">
        <f t="shared" si="99"/>
        <v>0</v>
      </c>
      <c r="DV21" s="146" t="s">
        <v>8</v>
      </c>
      <c r="DW21" s="154" t="s">
        <v>8</v>
      </c>
      <c r="DX21" s="35">
        <f t="shared" si="100"/>
        <v>0.64765130514835978</v>
      </c>
      <c r="DY21" s="155">
        <f t="shared" si="101"/>
        <v>-0.12247777178789265</v>
      </c>
      <c r="DZ21" s="34">
        <f t="shared" si="102"/>
        <v>0</v>
      </c>
      <c r="EA21" s="156">
        <f t="shared" si="103"/>
        <v>0</v>
      </c>
      <c r="EB21" s="146" t="s">
        <v>8</v>
      </c>
      <c r="EC21" s="154" t="s">
        <v>8</v>
      </c>
      <c r="ED21" s="35">
        <f t="shared" si="104"/>
        <v>0.64765130514835978</v>
      </c>
      <c r="EE21" s="155">
        <f t="shared" si="105"/>
        <v>-0.12247777178789265</v>
      </c>
      <c r="EF21" s="34">
        <f t="shared" si="106"/>
        <v>0</v>
      </c>
      <c r="EG21" s="156">
        <f t="shared" si="107"/>
        <v>0</v>
      </c>
      <c r="EH21" s="146" t="s">
        <v>8</v>
      </c>
      <c r="EI21" s="154" t="s">
        <v>8</v>
      </c>
      <c r="EJ21" s="35">
        <f t="shared" si="108"/>
        <v>0.64765130514835978</v>
      </c>
      <c r="EK21" s="155">
        <f t="shared" si="109"/>
        <v>-0.12247777178789265</v>
      </c>
      <c r="EL21" s="34">
        <f t="shared" si="110"/>
        <v>0</v>
      </c>
      <c r="EM21" s="156">
        <f t="shared" si="111"/>
        <v>0</v>
      </c>
      <c r="EN21" s="146" t="s">
        <v>8</v>
      </c>
      <c r="EO21" s="154" t="s">
        <v>8</v>
      </c>
      <c r="EP21" s="35">
        <f t="shared" si="112"/>
        <v>0.64765130514835978</v>
      </c>
      <c r="EQ21" s="155">
        <f t="shared" si="113"/>
        <v>-0.12247777178789265</v>
      </c>
      <c r="ER21" s="34">
        <f t="shared" si="114"/>
        <v>0</v>
      </c>
      <c r="ES21" s="156">
        <f t="shared" si="115"/>
        <v>0</v>
      </c>
      <c r="ET21" s="146" t="s">
        <v>8</v>
      </c>
      <c r="EU21" s="154" t="s">
        <v>8</v>
      </c>
      <c r="EV21" s="35">
        <f t="shared" si="116"/>
        <v>0.64765130514835978</v>
      </c>
      <c r="EW21" s="155">
        <f t="shared" si="117"/>
        <v>-0.12247777178789265</v>
      </c>
      <c r="EX21" s="34">
        <f t="shared" si="118"/>
        <v>0</v>
      </c>
      <c r="EY21" s="156">
        <f t="shared" si="119"/>
        <v>0</v>
      </c>
      <c r="EZ21" s="146" t="s">
        <v>8</v>
      </c>
      <c r="FA21" s="154" t="s">
        <v>8</v>
      </c>
      <c r="FB21" s="35">
        <f t="shared" si="120"/>
        <v>0.64765130514835978</v>
      </c>
      <c r="FC21" s="155">
        <f t="shared" si="121"/>
        <v>-0.12247777178789265</v>
      </c>
      <c r="FD21" s="34">
        <f t="shared" si="122"/>
        <v>0</v>
      </c>
      <c r="FE21" s="156">
        <f t="shared" si="123"/>
        <v>0</v>
      </c>
      <c r="FF21" s="146" t="s">
        <v>8</v>
      </c>
      <c r="FG21" s="154" t="s">
        <v>8</v>
      </c>
      <c r="FH21" s="35">
        <f t="shared" si="124"/>
        <v>0.64765130514835978</v>
      </c>
      <c r="FI21" s="155">
        <f t="shared" si="125"/>
        <v>-0.12247777178789265</v>
      </c>
      <c r="FJ21" s="34">
        <f t="shared" si="126"/>
        <v>0</v>
      </c>
      <c r="FK21" s="156">
        <f t="shared" si="127"/>
        <v>0</v>
      </c>
      <c r="FL21" s="146" t="s">
        <v>8</v>
      </c>
      <c r="FM21" s="154" t="s">
        <v>8</v>
      </c>
      <c r="FN21" s="35">
        <f t="shared" si="128"/>
        <v>0.64765130514835978</v>
      </c>
      <c r="FO21" s="155">
        <f t="shared" si="129"/>
        <v>-0.12247777178789265</v>
      </c>
      <c r="FP21" s="34">
        <f t="shared" si="130"/>
        <v>0</v>
      </c>
      <c r="FQ21" s="156">
        <f t="shared" si="131"/>
        <v>0</v>
      </c>
      <c r="FR21" s="146" t="s">
        <v>8</v>
      </c>
      <c r="FS21" s="154" t="s">
        <v>8</v>
      </c>
      <c r="FT21" s="35">
        <f t="shared" si="132"/>
        <v>0.64765130514835978</v>
      </c>
      <c r="FU21" s="155">
        <f t="shared" si="133"/>
        <v>-0.12247777178789265</v>
      </c>
      <c r="FV21" s="34">
        <f t="shared" si="134"/>
        <v>0</v>
      </c>
      <c r="FW21" s="156">
        <f t="shared" si="135"/>
        <v>0</v>
      </c>
      <c r="FX21" s="146" t="s">
        <v>8</v>
      </c>
      <c r="FY21" s="154" t="s">
        <v>8</v>
      </c>
      <c r="FZ21" s="35">
        <f t="shared" si="136"/>
        <v>0.64765130514835978</v>
      </c>
      <c r="GA21" s="155">
        <f t="shared" si="137"/>
        <v>-0.12247777178789265</v>
      </c>
      <c r="GB21" s="34">
        <f t="shared" si="138"/>
        <v>0</v>
      </c>
      <c r="GC21" s="156">
        <f t="shared" si="139"/>
        <v>0</v>
      </c>
      <c r="GD21" s="146" t="s">
        <v>8</v>
      </c>
      <c r="GE21" s="154" t="s">
        <v>8</v>
      </c>
      <c r="GF21" s="35">
        <f t="shared" si="140"/>
        <v>0.64765130514835978</v>
      </c>
      <c r="GG21" s="155">
        <f t="shared" si="141"/>
        <v>-0.12247777178789265</v>
      </c>
      <c r="GH21" s="34">
        <f t="shared" si="142"/>
        <v>0</v>
      </c>
      <c r="GI21" s="158">
        <f t="shared" si="143"/>
        <v>0</v>
      </c>
      <c r="GJ21" s="176">
        <f t="shared" si="146"/>
        <v>0</v>
      </c>
      <c r="GK21" s="99">
        <f t="shared" si="144"/>
        <v>1258764.9734570996</v>
      </c>
      <c r="GL21" s="217">
        <f t="shared" si="145"/>
        <v>0.64765130514835978</v>
      </c>
      <c r="GM21" s="231">
        <f t="shared" si="147"/>
        <v>1258764.97</v>
      </c>
      <c r="GN21" s="234"/>
    </row>
    <row r="22" spans="1:196" ht="16.5" thickBot="1" x14ac:dyDescent="0.3">
      <c r="A22" s="136" t="s">
        <v>187</v>
      </c>
      <c r="B22" s="165" t="s">
        <v>8</v>
      </c>
      <c r="C22" s="165" t="s">
        <v>8</v>
      </c>
      <c r="D22" s="165" t="s">
        <v>8</v>
      </c>
      <c r="E22" s="165" t="s">
        <v>8</v>
      </c>
      <c r="F22" s="165" t="s">
        <v>8</v>
      </c>
      <c r="G22" s="147">
        <f>'Исходные данные'!C24</f>
        <v>629</v>
      </c>
      <c r="H22" s="148">
        <f>'Исходные данные'!F24</f>
        <v>217060.62990064736</v>
      </c>
      <c r="I22" s="149">
        <f>'Расчет КРП'!G20</f>
        <v>5.6371658033745318</v>
      </c>
      <c r="J22" s="150" t="s">
        <v>8</v>
      </c>
      <c r="K22" s="151">
        <f t="shared" si="22"/>
        <v>4.5050278499888768E-2</v>
      </c>
      <c r="L22" s="152">
        <f t="shared" si="23"/>
        <v>115299.71869877905</v>
      </c>
      <c r="M22" s="153">
        <f t="shared" si="24"/>
        <v>6.8980387063179799E-2</v>
      </c>
      <c r="N22" s="154" t="s">
        <v>8</v>
      </c>
      <c r="O22" s="155">
        <f t="shared" si="25"/>
        <v>8.3984814019486237E-2</v>
      </c>
      <c r="P22" s="34">
        <f t="shared" si="26"/>
        <v>459241.54610956629</v>
      </c>
      <c r="Q22" s="156">
        <f t="shared" si="27"/>
        <v>459241.54610956629</v>
      </c>
      <c r="R22" s="170" t="s">
        <v>8</v>
      </c>
      <c r="S22" s="154" t="s">
        <v>8</v>
      </c>
      <c r="T22" s="157">
        <f t="shared" si="28"/>
        <v>0.16429458365620173</v>
      </c>
      <c r="U22" s="155">
        <f t="shared" si="29"/>
        <v>9.0185041125506821E-2</v>
      </c>
      <c r="V22" s="53">
        <f t="shared" si="30"/>
        <v>632747.37515492144</v>
      </c>
      <c r="W22" s="156">
        <f t="shared" si="31"/>
        <v>632747.37515492144</v>
      </c>
      <c r="X22" s="146" t="s">
        <v>8</v>
      </c>
      <c r="Y22" s="154" t="s">
        <v>8</v>
      </c>
      <c r="Z22" s="157">
        <f t="shared" si="32"/>
        <v>0.295619391309484</v>
      </c>
      <c r="AA22" s="155">
        <f t="shared" si="33"/>
        <v>6.9402228249315967E-2</v>
      </c>
      <c r="AB22" s="53">
        <f t="shared" si="34"/>
        <v>609385.68750215147</v>
      </c>
      <c r="AC22" s="156">
        <f t="shared" si="35"/>
        <v>609385.68750215147</v>
      </c>
      <c r="AD22" s="146" t="s">
        <v>8</v>
      </c>
      <c r="AE22" s="154" t="s">
        <v>8</v>
      </c>
      <c r="AF22" s="157">
        <f t="shared" si="36"/>
        <v>0.42209555121182946</v>
      </c>
      <c r="AG22" s="155">
        <f t="shared" si="37"/>
        <v>5.4407161883888999E-2</v>
      </c>
      <c r="AH22" s="53">
        <f t="shared" si="38"/>
        <v>573604.16950883123</v>
      </c>
      <c r="AI22" s="156">
        <f t="shared" si="39"/>
        <v>275509.20383249072</v>
      </c>
      <c r="AJ22" s="146" t="s">
        <v>8</v>
      </c>
      <c r="AK22" s="154" t="s">
        <v>8</v>
      </c>
      <c r="AL22" s="157">
        <f t="shared" si="40"/>
        <v>0.47927665479389048</v>
      </c>
      <c r="AM22" s="155">
        <f t="shared" si="41"/>
        <v>4.5896878566576649E-2</v>
      </c>
      <c r="AN22" s="53">
        <f t="shared" si="42"/>
        <v>519452.72527855367</v>
      </c>
      <c r="AO22" s="156">
        <f t="shared" si="43"/>
        <v>0</v>
      </c>
      <c r="AP22" s="146" t="s">
        <v>8</v>
      </c>
      <c r="AQ22" s="154" t="s">
        <v>8</v>
      </c>
      <c r="AR22" s="157">
        <f t="shared" si="44"/>
        <v>0.47927665479389048</v>
      </c>
      <c r="AS22" s="155">
        <f t="shared" si="45"/>
        <v>4.5896878566576649E-2</v>
      </c>
      <c r="AT22" s="53">
        <f t="shared" si="46"/>
        <v>519452.72527855367</v>
      </c>
      <c r="AU22" s="156">
        <f t="shared" si="47"/>
        <v>0</v>
      </c>
      <c r="AV22" s="146" t="s">
        <v>8</v>
      </c>
      <c r="AW22" s="154" t="s">
        <v>8</v>
      </c>
      <c r="AX22" s="157">
        <f t="shared" si="48"/>
        <v>0.47927665479389048</v>
      </c>
      <c r="AY22" s="155">
        <f t="shared" si="49"/>
        <v>4.5896878566576649E-2</v>
      </c>
      <c r="AZ22" s="53">
        <f t="shared" si="50"/>
        <v>519452.72527855367</v>
      </c>
      <c r="BA22" s="156">
        <f t="shared" si="51"/>
        <v>0</v>
      </c>
      <c r="BB22" s="146" t="s">
        <v>8</v>
      </c>
      <c r="BC22" s="154" t="s">
        <v>8</v>
      </c>
      <c r="BD22" s="157">
        <f t="shared" si="52"/>
        <v>0.47927665479389048</v>
      </c>
      <c r="BE22" s="155">
        <f t="shared" si="53"/>
        <v>4.5896878566576649E-2</v>
      </c>
      <c r="BF22" s="53">
        <f t="shared" si="54"/>
        <v>519452.72527855367</v>
      </c>
      <c r="BG22" s="156">
        <f t="shared" si="55"/>
        <v>0</v>
      </c>
      <c r="BH22" s="146" t="s">
        <v>8</v>
      </c>
      <c r="BI22" s="154" t="s">
        <v>8</v>
      </c>
      <c r="BJ22" s="157">
        <f t="shared" si="56"/>
        <v>0.47927665479389048</v>
      </c>
      <c r="BK22" s="155">
        <f t="shared" si="57"/>
        <v>4.5896878566576649E-2</v>
      </c>
      <c r="BL22" s="53">
        <f t="shared" si="58"/>
        <v>519452.72527855367</v>
      </c>
      <c r="BM22" s="156">
        <f t="shared" si="59"/>
        <v>0</v>
      </c>
      <c r="BN22" s="146" t="s">
        <v>8</v>
      </c>
      <c r="BO22" s="154" t="s">
        <v>8</v>
      </c>
      <c r="BP22" s="157">
        <f t="shared" si="60"/>
        <v>0.47927665479389048</v>
      </c>
      <c r="BQ22" s="155">
        <f t="shared" si="61"/>
        <v>4.5896878566576649E-2</v>
      </c>
      <c r="BR22" s="53">
        <f t="shared" si="62"/>
        <v>519452.72527855367</v>
      </c>
      <c r="BS22" s="158">
        <f t="shared" si="63"/>
        <v>0</v>
      </c>
      <c r="BT22" s="146" t="s">
        <v>8</v>
      </c>
      <c r="BU22" s="154" t="s">
        <v>8</v>
      </c>
      <c r="BV22" s="157">
        <f t="shared" si="64"/>
        <v>0.47927665479389048</v>
      </c>
      <c r="BW22" s="155">
        <f t="shared" si="65"/>
        <v>4.5896878566576649E-2</v>
      </c>
      <c r="BX22" s="53">
        <f t="shared" si="66"/>
        <v>519452.72527855367</v>
      </c>
      <c r="BY22" s="158">
        <f t="shared" si="67"/>
        <v>0</v>
      </c>
      <c r="BZ22" s="146" t="s">
        <v>8</v>
      </c>
      <c r="CA22" s="154" t="s">
        <v>8</v>
      </c>
      <c r="CB22" s="157">
        <f t="shared" si="68"/>
        <v>0.47927665479389048</v>
      </c>
      <c r="CC22" s="155">
        <f t="shared" si="69"/>
        <v>4.5896878566576649E-2</v>
      </c>
      <c r="CD22" s="53">
        <f t="shared" si="70"/>
        <v>519452.72527855367</v>
      </c>
      <c r="CE22" s="158">
        <f t="shared" si="71"/>
        <v>0</v>
      </c>
      <c r="CF22" s="146" t="s">
        <v>8</v>
      </c>
      <c r="CG22" s="154" t="s">
        <v>8</v>
      </c>
      <c r="CH22" s="157">
        <f t="shared" si="72"/>
        <v>0.47927665479389048</v>
      </c>
      <c r="CI22" s="155">
        <f t="shared" si="73"/>
        <v>4.5896878566576649E-2</v>
      </c>
      <c r="CJ22" s="53">
        <f t="shared" si="74"/>
        <v>519452.72527855367</v>
      </c>
      <c r="CK22" s="158">
        <f t="shared" si="75"/>
        <v>0</v>
      </c>
      <c r="CL22" s="146" t="s">
        <v>8</v>
      </c>
      <c r="CM22" s="154" t="s">
        <v>8</v>
      </c>
      <c r="CN22" s="157">
        <f t="shared" si="76"/>
        <v>0.47927665479389048</v>
      </c>
      <c r="CO22" s="155">
        <f t="shared" si="77"/>
        <v>4.5896878566576649E-2</v>
      </c>
      <c r="CP22" s="53">
        <f t="shared" si="78"/>
        <v>519452.72527855367</v>
      </c>
      <c r="CQ22" s="158">
        <f t="shared" si="79"/>
        <v>0</v>
      </c>
      <c r="CR22" s="146" t="s">
        <v>8</v>
      </c>
      <c r="CS22" s="154" t="s">
        <v>8</v>
      </c>
      <c r="CT22" s="157">
        <f t="shared" si="80"/>
        <v>0.47927665479389048</v>
      </c>
      <c r="CU22" s="155">
        <f t="shared" si="81"/>
        <v>4.5896878566576649E-2</v>
      </c>
      <c r="CV22" s="53">
        <f t="shared" si="82"/>
        <v>519452.72527855367</v>
      </c>
      <c r="CW22" s="158">
        <f t="shared" si="83"/>
        <v>0</v>
      </c>
      <c r="CX22" s="146" t="s">
        <v>8</v>
      </c>
      <c r="CY22" s="154" t="s">
        <v>8</v>
      </c>
      <c r="CZ22" s="157">
        <f t="shared" si="84"/>
        <v>0.47927665479389048</v>
      </c>
      <c r="DA22" s="155">
        <f t="shared" si="85"/>
        <v>4.5896878566576649E-2</v>
      </c>
      <c r="DB22" s="53">
        <f t="shared" si="86"/>
        <v>519452.72527855367</v>
      </c>
      <c r="DC22" s="158">
        <f t="shared" si="87"/>
        <v>0</v>
      </c>
      <c r="DD22" s="146" t="s">
        <v>8</v>
      </c>
      <c r="DE22" s="154" t="s">
        <v>8</v>
      </c>
      <c r="DF22" s="157">
        <f t="shared" si="88"/>
        <v>0.47927665479389048</v>
      </c>
      <c r="DG22" s="155">
        <f t="shared" si="89"/>
        <v>4.5896878566576649E-2</v>
      </c>
      <c r="DH22" s="53">
        <f t="shared" si="90"/>
        <v>519452.72527855367</v>
      </c>
      <c r="DI22" s="158">
        <f t="shared" si="91"/>
        <v>0</v>
      </c>
      <c r="DJ22" s="146" t="s">
        <v>8</v>
      </c>
      <c r="DK22" s="154" t="s">
        <v>8</v>
      </c>
      <c r="DL22" s="157">
        <f t="shared" si="92"/>
        <v>0.47927665479389048</v>
      </c>
      <c r="DM22" s="155">
        <f t="shared" si="93"/>
        <v>4.5896878566576649E-2</v>
      </c>
      <c r="DN22" s="53">
        <f t="shared" si="94"/>
        <v>519452.72527855367</v>
      </c>
      <c r="DO22" s="158">
        <f t="shared" si="95"/>
        <v>0</v>
      </c>
      <c r="DP22" s="146" t="s">
        <v>8</v>
      </c>
      <c r="DQ22" s="154" t="s">
        <v>8</v>
      </c>
      <c r="DR22" s="157">
        <f t="shared" si="96"/>
        <v>0.47927665479389048</v>
      </c>
      <c r="DS22" s="155">
        <f t="shared" si="97"/>
        <v>4.5896878566576649E-2</v>
      </c>
      <c r="DT22" s="53">
        <f t="shared" si="98"/>
        <v>519452.72527855367</v>
      </c>
      <c r="DU22" s="158">
        <f t="shared" si="99"/>
        <v>0</v>
      </c>
      <c r="DV22" s="146" t="s">
        <v>8</v>
      </c>
      <c r="DW22" s="154" t="s">
        <v>8</v>
      </c>
      <c r="DX22" s="35">
        <f t="shared" si="100"/>
        <v>0.47927665479389048</v>
      </c>
      <c r="DY22" s="155">
        <f t="shared" si="101"/>
        <v>4.5896878566576649E-2</v>
      </c>
      <c r="DZ22" s="34">
        <f t="shared" si="102"/>
        <v>519452.72527855367</v>
      </c>
      <c r="EA22" s="156">
        <f t="shared" si="103"/>
        <v>0</v>
      </c>
      <c r="EB22" s="146" t="s">
        <v>8</v>
      </c>
      <c r="EC22" s="154" t="s">
        <v>8</v>
      </c>
      <c r="ED22" s="35">
        <f t="shared" si="104"/>
        <v>0.47927665479389048</v>
      </c>
      <c r="EE22" s="155">
        <f t="shared" si="105"/>
        <v>4.5896878566576649E-2</v>
      </c>
      <c r="EF22" s="34">
        <f t="shared" si="106"/>
        <v>519452.72527855367</v>
      </c>
      <c r="EG22" s="156">
        <f t="shared" si="107"/>
        <v>0</v>
      </c>
      <c r="EH22" s="146" t="s">
        <v>8</v>
      </c>
      <c r="EI22" s="154" t="s">
        <v>8</v>
      </c>
      <c r="EJ22" s="35">
        <f t="shared" si="108"/>
        <v>0.47927665479389048</v>
      </c>
      <c r="EK22" s="155">
        <f t="shared" si="109"/>
        <v>4.5896878566576649E-2</v>
      </c>
      <c r="EL22" s="34">
        <f t="shared" si="110"/>
        <v>519452.72527855367</v>
      </c>
      <c r="EM22" s="156">
        <f t="shared" si="111"/>
        <v>0</v>
      </c>
      <c r="EN22" s="146" t="s">
        <v>8</v>
      </c>
      <c r="EO22" s="154" t="s">
        <v>8</v>
      </c>
      <c r="EP22" s="35">
        <f t="shared" si="112"/>
        <v>0.47927665479389048</v>
      </c>
      <c r="EQ22" s="155">
        <f t="shared" si="113"/>
        <v>4.5896878566576649E-2</v>
      </c>
      <c r="ER22" s="34">
        <f t="shared" si="114"/>
        <v>519452.72527855367</v>
      </c>
      <c r="ES22" s="156">
        <f t="shared" si="115"/>
        <v>0</v>
      </c>
      <c r="ET22" s="146" t="s">
        <v>8</v>
      </c>
      <c r="EU22" s="154" t="s">
        <v>8</v>
      </c>
      <c r="EV22" s="35">
        <f t="shared" si="116"/>
        <v>0.47927665479389048</v>
      </c>
      <c r="EW22" s="155">
        <f t="shared" si="117"/>
        <v>4.5896878566576649E-2</v>
      </c>
      <c r="EX22" s="34">
        <f t="shared" si="118"/>
        <v>519452.72527855367</v>
      </c>
      <c r="EY22" s="156">
        <f t="shared" si="119"/>
        <v>0</v>
      </c>
      <c r="EZ22" s="146" t="s">
        <v>8</v>
      </c>
      <c r="FA22" s="154" t="s">
        <v>8</v>
      </c>
      <c r="FB22" s="35">
        <f t="shared" si="120"/>
        <v>0.47927665479389048</v>
      </c>
      <c r="FC22" s="155">
        <f t="shared" si="121"/>
        <v>4.5896878566576649E-2</v>
      </c>
      <c r="FD22" s="34">
        <f t="shared" si="122"/>
        <v>519452.72527855367</v>
      </c>
      <c r="FE22" s="156">
        <f t="shared" si="123"/>
        <v>0</v>
      </c>
      <c r="FF22" s="146" t="s">
        <v>8</v>
      </c>
      <c r="FG22" s="154" t="s">
        <v>8</v>
      </c>
      <c r="FH22" s="35">
        <f t="shared" si="124"/>
        <v>0.47927665479389048</v>
      </c>
      <c r="FI22" s="155">
        <f t="shared" si="125"/>
        <v>4.5896878566576649E-2</v>
      </c>
      <c r="FJ22" s="34">
        <f t="shared" si="126"/>
        <v>519452.72527855367</v>
      </c>
      <c r="FK22" s="156">
        <f t="shared" si="127"/>
        <v>0</v>
      </c>
      <c r="FL22" s="146" t="s">
        <v>8</v>
      </c>
      <c r="FM22" s="154" t="s">
        <v>8</v>
      </c>
      <c r="FN22" s="35">
        <f t="shared" si="128"/>
        <v>0.47927665479389048</v>
      </c>
      <c r="FO22" s="155">
        <f t="shared" si="129"/>
        <v>4.5896878566576649E-2</v>
      </c>
      <c r="FP22" s="34">
        <f t="shared" si="130"/>
        <v>519452.72527855367</v>
      </c>
      <c r="FQ22" s="156">
        <f t="shared" si="131"/>
        <v>0</v>
      </c>
      <c r="FR22" s="146" t="s">
        <v>8</v>
      </c>
      <c r="FS22" s="154" t="s">
        <v>8</v>
      </c>
      <c r="FT22" s="35">
        <f t="shared" si="132"/>
        <v>0.47927665479389048</v>
      </c>
      <c r="FU22" s="155">
        <f t="shared" si="133"/>
        <v>4.5896878566576649E-2</v>
      </c>
      <c r="FV22" s="34">
        <f t="shared" si="134"/>
        <v>519452.72527855367</v>
      </c>
      <c r="FW22" s="156">
        <f t="shared" si="135"/>
        <v>0</v>
      </c>
      <c r="FX22" s="146" t="s">
        <v>8</v>
      </c>
      <c r="FY22" s="154" t="s">
        <v>8</v>
      </c>
      <c r="FZ22" s="35">
        <f t="shared" si="136"/>
        <v>0.47927665479389048</v>
      </c>
      <c r="GA22" s="155">
        <f t="shared" si="137"/>
        <v>4.5896878566576649E-2</v>
      </c>
      <c r="GB22" s="34">
        <f t="shared" si="138"/>
        <v>519452.72527855367</v>
      </c>
      <c r="GC22" s="156">
        <f t="shared" si="139"/>
        <v>0</v>
      </c>
      <c r="GD22" s="146" t="s">
        <v>8</v>
      </c>
      <c r="GE22" s="154" t="s">
        <v>8</v>
      </c>
      <c r="GF22" s="35">
        <f t="shared" si="140"/>
        <v>0.47927665479389048</v>
      </c>
      <c r="GG22" s="155">
        <f t="shared" si="141"/>
        <v>4.5896878566576649E-2</v>
      </c>
      <c r="GH22" s="34">
        <f t="shared" si="142"/>
        <v>519452.72527855367</v>
      </c>
      <c r="GI22" s="158">
        <f t="shared" si="143"/>
        <v>0</v>
      </c>
      <c r="GJ22" s="176">
        <f t="shared" si="146"/>
        <v>1976883.81259913</v>
      </c>
      <c r="GK22" s="99">
        <f t="shared" si="144"/>
        <v>2092183.5312979091</v>
      </c>
      <c r="GL22" s="217">
        <f t="shared" si="145"/>
        <v>0.47927665479389059</v>
      </c>
      <c r="GM22" s="231">
        <f t="shared" si="147"/>
        <v>2092183.53</v>
      </c>
      <c r="GN22" s="234"/>
    </row>
    <row r="23" spans="1:196" ht="16.5" thickBot="1" x14ac:dyDescent="0.3">
      <c r="A23" s="103" t="s">
        <v>6</v>
      </c>
      <c r="B23" s="125">
        <v>21919778</v>
      </c>
      <c r="C23" s="121">
        <v>10</v>
      </c>
      <c r="D23" s="81">
        <f>B23*C23/100</f>
        <v>2191977.7999999998</v>
      </c>
      <c r="E23" s="110">
        <f>100-C23</f>
        <v>90</v>
      </c>
      <c r="F23" s="81">
        <f>B23-D23</f>
        <v>19727800.199999999</v>
      </c>
      <c r="G23" s="109">
        <f>SUM(G9:G22)</f>
        <v>11958</v>
      </c>
      <c r="H23" s="109">
        <f>SUM(H9:H22)</f>
        <v>16249150.972963495</v>
      </c>
      <c r="I23" s="45" t="s">
        <v>8</v>
      </c>
      <c r="J23" s="183">
        <f>H23/G23</f>
        <v>1358.8518960497988</v>
      </c>
      <c r="K23" s="120" t="s">
        <v>8</v>
      </c>
      <c r="L23" s="78">
        <f>SUM(L9:L22)</f>
        <v>2191977.7999999998</v>
      </c>
      <c r="M23" s="74" t="s">
        <v>8</v>
      </c>
      <c r="N23" s="46">
        <f>(SUMIF(M9:M22,"&lt;1")+1)/(COUNTIFS(M9:M22,"&lt;1")+1)</f>
        <v>0.15296520108266604</v>
      </c>
      <c r="O23" s="47" t="s">
        <v>8</v>
      </c>
      <c r="P23" s="44">
        <f>SUM(P9:P22)</f>
        <v>5220407.5463900818</v>
      </c>
      <c r="Q23" s="44">
        <f>SUM(Q9:Q22)</f>
        <v>5220407.5463900818</v>
      </c>
      <c r="R23" s="83">
        <f>F23-Q23</f>
        <v>14507392.653609917</v>
      </c>
      <c r="S23" s="46">
        <f>(SUMIF(T9:T22,"&lt;1")+1)/(COUNTIFS(T9:T22,"&lt;1")+1)</f>
        <v>0.25447962478170855</v>
      </c>
      <c r="T23" s="47" t="s">
        <v>8</v>
      </c>
      <c r="U23" s="47" t="s">
        <v>8</v>
      </c>
      <c r="V23" s="44">
        <f>SUM(V9:V22)</f>
        <v>5950340.2525508599</v>
      </c>
      <c r="W23" s="44">
        <f>SUM(W9:W22)</f>
        <v>5950340.2525508599</v>
      </c>
      <c r="X23" s="83">
        <f>R23-W23</f>
        <v>8557052.4010590576</v>
      </c>
      <c r="Y23" s="46">
        <f>(SUMIF(Z9:Z22,"&lt;1")+1)/(COUNTIFS(Z9:Z22,"&lt;1")+1)</f>
        <v>0.36502161955879997</v>
      </c>
      <c r="Z23" s="47" t="s">
        <v>8</v>
      </c>
      <c r="AA23" s="47" t="s">
        <v>8</v>
      </c>
      <c r="AB23" s="44">
        <f>SUM(AB9:AB22)</f>
        <v>5943339.5368242627</v>
      </c>
      <c r="AC23" s="44">
        <f>SUM(AC9:AC22)</f>
        <v>5943339.5368242627</v>
      </c>
      <c r="AD23" s="83">
        <f>X23-AC23</f>
        <v>2613712.8642347949</v>
      </c>
      <c r="AE23" s="46">
        <f>(SUMIF(AF9:AF22,"&lt;1")+1)/(COUNTIFS(AF9:AF22,"&lt;1")+1)</f>
        <v>0.47650271309571846</v>
      </c>
      <c r="AF23" s="47" t="s">
        <v>8</v>
      </c>
      <c r="AG23" s="47" t="s">
        <v>8</v>
      </c>
      <c r="AH23" s="44">
        <f>SUM(AH9:AH22)</f>
        <v>5441693.329909523</v>
      </c>
      <c r="AI23" s="44">
        <f>SUM(AI9:AI22)</f>
        <v>2613712.8642347953</v>
      </c>
      <c r="AJ23" s="83">
        <f>AD23-AI23</f>
        <v>0</v>
      </c>
      <c r="AK23" s="46">
        <f>(SUMIF(AL9:AL22,"&lt;1")+1)/(COUNTIFS(AL9:AL22,"&lt;1")+1)</f>
        <v>0.52517353336046713</v>
      </c>
      <c r="AL23" s="47" t="s">
        <v>8</v>
      </c>
      <c r="AM23" s="47" t="s">
        <v>8</v>
      </c>
      <c r="AN23" s="44">
        <f>SUM(AN9:AN22)</f>
        <v>5003026.6989870025</v>
      </c>
      <c r="AO23" s="44">
        <f>SUM(AO9:AO22)</f>
        <v>0</v>
      </c>
      <c r="AP23" s="83">
        <f>AJ23-AO23</f>
        <v>0</v>
      </c>
      <c r="AQ23" s="46">
        <f>(SUMIF(AR9:AR22,"&lt;1")+1)/(COUNTIFS(AR9:AR22,"&lt;1")+1)</f>
        <v>0.52517353336046713</v>
      </c>
      <c r="AR23" s="47" t="s">
        <v>8</v>
      </c>
      <c r="AS23" s="47" t="s">
        <v>8</v>
      </c>
      <c r="AT23" s="44">
        <f>SUM(AT9:AT22)</f>
        <v>5003026.6989870025</v>
      </c>
      <c r="AU23" s="81">
        <f>SUM(AU9:AU22)</f>
        <v>0</v>
      </c>
      <c r="AV23" s="83">
        <f>AP23-AU23</f>
        <v>0</v>
      </c>
      <c r="AW23" s="46">
        <f>(SUMIF(AX9:AX22,"&lt;1")+1)/(COUNTIFS(AX9:AX22,"&lt;1")+1)</f>
        <v>0.52517353336046713</v>
      </c>
      <c r="AX23" s="47" t="s">
        <v>8</v>
      </c>
      <c r="AY23" s="47" t="s">
        <v>8</v>
      </c>
      <c r="AZ23" s="44">
        <f>SUM(AZ9:AZ22)</f>
        <v>5003026.6989870025</v>
      </c>
      <c r="BA23" s="44">
        <f>SUM(BA9:BA22)</f>
        <v>0</v>
      </c>
      <c r="BB23" s="83">
        <f>AV23-BA23</f>
        <v>0</v>
      </c>
      <c r="BC23" s="46">
        <f>(SUMIF(BD9:BD22,"&lt;1")+1)/(COUNTIFS(BD9:BD22,"&lt;1")+1)</f>
        <v>0.52517353336046713</v>
      </c>
      <c r="BD23" s="47" t="s">
        <v>8</v>
      </c>
      <c r="BE23" s="47" t="s">
        <v>8</v>
      </c>
      <c r="BF23" s="44">
        <f>SUM(BF9:BF22)</f>
        <v>5003026.6989870025</v>
      </c>
      <c r="BG23" s="44">
        <f>SUM(BG9:BG22)</f>
        <v>0</v>
      </c>
      <c r="BH23" s="83">
        <f>BB23-BG23</f>
        <v>0</v>
      </c>
      <c r="BI23" s="46">
        <f>(SUMIF(BJ9:BJ22,"&lt;1")+1)/(COUNTIFS(BJ9:BJ22,"&lt;1")+1)</f>
        <v>0.52517353336046713</v>
      </c>
      <c r="BJ23" s="47" t="s">
        <v>8</v>
      </c>
      <c r="BK23" s="47" t="s">
        <v>8</v>
      </c>
      <c r="BL23" s="44">
        <f>SUM(BL9:BL22)</f>
        <v>5003026.6989870025</v>
      </c>
      <c r="BM23" s="44">
        <f>SUM(BM9:BM22)</f>
        <v>0</v>
      </c>
      <c r="BN23" s="83">
        <f>BH23-BM23</f>
        <v>0</v>
      </c>
      <c r="BO23" s="46">
        <f>(SUMIF(BP9:BP22,"&lt;1")+1)/(COUNTIFS(BP9:BP22,"&lt;1")+1)</f>
        <v>0.52517353336046713</v>
      </c>
      <c r="BP23" s="47" t="s">
        <v>8</v>
      </c>
      <c r="BQ23" s="47" t="s">
        <v>8</v>
      </c>
      <c r="BR23" s="44">
        <f>SUM(BR9:BR22)</f>
        <v>5003026.6989870025</v>
      </c>
      <c r="BS23" s="44">
        <f>SUM(BS9:BS22)</f>
        <v>0</v>
      </c>
      <c r="BT23" s="83">
        <f>BN23-BS23</f>
        <v>0</v>
      </c>
      <c r="BU23" s="46">
        <f>(SUMIF(BV9:BV22,"&lt;1")+1)/(COUNTIFS(BV9:BV22,"&lt;1")+1)</f>
        <v>0.52517353336046713</v>
      </c>
      <c r="BV23" s="47" t="s">
        <v>8</v>
      </c>
      <c r="BW23" s="47" t="s">
        <v>8</v>
      </c>
      <c r="BX23" s="44">
        <f>SUM(BX9:BX22)</f>
        <v>5003026.6989870025</v>
      </c>
      <c r="BY23" s="44">
        <f>SUM(BY9:BY22)</f>
        <v>0</v>
      </c>
      <c r="BZ23" s="83">
        <f>BT23-BY23</f>
        <v>0</v>
      </c>
      <c r="CA23" s="46">
        <f>(SUMIF(CB9:CB22,"&lt;1")+1)/(COUNTIFS(CB9:CB22,"&lt;1")+1)</f>
        <v>0.52517353336046713</v>
      </c>
      <c r="CB23" s="47" t="s">
        <v>8</v>
      </c>
      <c r="CC23" s="47" t="s">
        <v>8</v>
      </c>
      <c r="CD23" s="44">
        <f>SUM(CD9:CD22)</f>
        <v>5003026.6989870025</v>
      </c>
      <c r="CE23" s="44">
        <f>SUM(CE9:CE22)</f>
        <v>0</v>
      </c>
      <c r="CF23" s="83">
        <f>BZ23-CE23</f>
        <v>0</v>
      </c>
      <c r="CG23" s="46">
        <f>(SUMIF(CH9:CH22,"&lt;1")+1)/(COUNTIFS(CH9:CH22,"&lt;1")+1)</f>
        <v>0.52517353336046713</v>
      </c>
      <c r="CH23" s="47" t="s">
        <v>8</v>
      </c>
      <c r="CI23" s="47" t="s">
        <v>8</v>
      </c>
      <c r="CJ23" s="44">
        <f>SUM(CJ9:CJ22)</f>
        <v>5003026.6989870025</v>
      </c>
      <c r="CK23" s="44">
        <f>SUM(CK9:CK22)</f>
        <v>0</v>
      </c>
      <c r="CL23" s="83">
        <f>CF23-CK23</f>
        <v>0</v>
      </c>
      <c r="CM23" s="46">
        <f>(SUMIF(CN9:CN22,"&lt;1")+1)/(COUNTIFS(CN9:CN22,"&lt;1")+1)</f>
        <v>0.52517353336046713</v>
      </c>
      <c r="CN23" s="47" t="s">
        <v>8</v>
      </c>
      <c r="CO23" s="47" t="s">
        <v>8</v>
      </c>
      <c r="CP23" s="44">
        <f>SUM(CP9:CP22)</f>
        <v>5003026.6989870025</v>
      </c>
      <c r="CQ23" s="44">
        <f>SUM(CQ9:CQ22)</f>
        <v>0</v>
      </c>
      <c r="CR23" s="83">
        <f>CL23-CQ23</f>
        <v>0</v>
      </c>
      <c r="CS23" s="46">
        <f>(SUMIF(CT9:CT22,"&lt;1")+1)/(COUNTIFS(CT9:CT22,"&lt;1")+1)</f>
        <v>0.52517353336046713</v>
      </c>
      <c r="CT23" s="47" t="s">
        <v>8</v>
      </c>
      <c r="CU23" s="47" t="s">
        <v>8</v>
      </c>
      <c r="CV23" s="44">
        <f>SUM(CV9:CV22)</f>
        <v>5003026.6989870025</v>
      </c>
      <c r="CW23" s="44">
        <f>SUM(CW9:CW22)</f>
        <v>0</v>
      </c>
      <c r="CX23" s="83">
        <f>CR23-CW23</f>
        <v>0</v>
      </c>
      <c r="CY23" s="46">
        <f>(SUMIF(CZ9:CZ22,"&lt;1")+1)/(COUNTIFS(CZ9:CZ22,"&lt;1")+1)</f>
        <v>0.52517353336046713</v>
      </c>
      <c r="CZ23" s="47" t="s">
        <v>8</v>
      </c>
      <c r="DA23" s="47" t="s">
        <v>8</v>
      </c>
      <c r="DB23" s="44">
        <f>SUM(DB9:DB22)</f>
        <v>5003026.6989870025</v>
      </c>
      <c r="DC23" s="44">
        <f>SUM(DC9:DC22)</f>
        <v>0</v>
      </c>
      <c r="DD23" s="83">
        <f>CX23-DC23</f>
        <v>0</v>
      </c>
      <c r="DE23" s="46">
        <f>(SUMIF(DF9:DF22,"&lt;1")+1)/(COUNTIFS(DF9:DF22,"&lt;1")+1)</f>
        <v>0.52517353336046713</v>
      </c>
      <c r="DF23" s="47" t="s">
        <v>8</v>
      </c>
      <c r="DG23" s="47" t="s">
        <v>8</v>
      </c>
      <c r="DH23" s="44">
        <f>SUM(DH9:DH22)</f>
        <v>5003026.6989870025</v>
      </c>
      <c r="DI23" s="44">
        <f>SUM(DI9:DI22)</f>
        <v>0</v>
      </c>
      <c r="DJ23" s="83">
        <f>DD23-DI23</f>
        <v>0</v>
      </c>
      <c r="DK23" s="46">
        <f>(SUMIF(DL9:DL22,"&lt;1")+1)/(COUNTIFS(DL9:DL22,"&lt;1")+1)</f>
        <v>0.52517353336046713</v>
      </c>
      <c r="DL23" s="47" t="s">
        <v>8</v>
      </c>
      <c r="DM23" s="47" t="s">
        <v>8</v>
      </c>
      <c r="DN23" s="44">
        <f>SUM(DN9:DN22)</f>
        <v>5003026.6989870025</v>
      </c>
      <c r="DO23" s="44">
        <f>SUM(DO9:DO22)</f>
        <v>0</v>
      </c>
      <c r="DP23" s="83">
        <f>DJ23-DO23</f>
        <v>0</v>
      </c>
      <c r="DQ23" s="46">
        <f>(SUMIF(DR9:DR22,"&lt;1")+1)/(COUNTIFS(DR9:DR22,"&lt;1")+1)</f>
        <v>0.52517353336046713</v>
      </c>
      <c r="DR23" s="47" t="s">
        <v>8</v>
      </c>
      <c r="DS23" s="47" t="s">
        <v>8</v>
      </c>
      <c r="DT23" s="44">
        <f>SUM(DT9:DT22)</f>
        <v>5003026.6989870025</v>
      </c>
      <c r="DU23" s="44">
        <f>SUM(DU9:DU22)</f>
        <v>0</v>
      </c>
      <c r="DV23" s="83">
        <f>DP23-DU23</f>
        <v>0</v>
      </c>
      <c r="DW23" s="46">
        <f>(SUMIF(DX9:DX22,"&lt;1")+1)/(COUNTIFS(DX9:DX22,"&lt;1")+1)</f>
        <v>0.52517353336046713</v>
      </c>
      <c r="DX23" s="47" t="s">
        <v>8</v>
      </c>
      <c r="DY23" s="47" t="s">
        <v>8</v>
      </c>
      <c r="DZ23" s="159">
        <f>SUM(DZ9:DZ22)</f>
        <v>5003026.6989870025</v>
      </c>
      <c r="EA23" s="44">
        <f>SUM(EA9:EA22)</f>
        <v>0</v>
      </c>
      <c r="EB23" s="83">
        <f>DV23-EA23</f>
        <v>0</v>
      </c>
      <c r="EC23" s="46">
        <f>(SUMIF(ED9:ED22,"&lt;1")+1)/(COUNTIFS(ED9:ED22,"&lt;1")+1)</f>
        <v>0.52517353336046713</v>
      </c>
      <c r="ED23" s="47" t="s">
        <v>8</v>
      </c>
      <c r="EE23" s="47" t="s">
        <v>8</v>
      </c>
      <c r="EF23" s="159">
        <f>SUM(EF9:EF22)</f>
        <v>5003026.6989870025</v>
      </c>
      <c r="EG23" s="44">
        <f>SUM(EG9:EG22)</f>
        <v>0</v>
      </c>
      <c r="EH23" s="83">
        <f>EB23-EG23</f>
        <v>0</v>
      </c>
      <c r="EI23" s="46">
        <f>(SUMIF(EJ9:EJ22,"&lt;1")+1)/(COUNTIFS(EJ9:EJ22,"&lt;1")+1)</f>
        <v>0.52517353336046713</v>
      </c>
      <c r="EJ23" s="47" t="s">
        <v>8</v>
      </c>
      <c r="EK23" s="47" t="s">
        <v>8</v>
      </c>
      <c r="EL23" s="159">
        <f>SUM(EL9:EL22)</f>
        <v>5003026.6989870025</v>
      </c>
      <c r="EM23" s="44">
        <f>SUM(EM9:EM22)</f>
        <v>0</v>
      </c>
      <c r="EN23" s="83">
        <f>EH23-EM23</f>
        <v>0</v>
      </c>
      <c r="EO23" s="46">
        <f>(SUMIF(EP9:EP22,"&lt;1")+1)/(COUNTIFS(EP9:EP22,"&lt;1")+1)</f>
        <v>0.52517353336046713</v>
      </c>
      <c r="EP23" s="47" t="s">
        <v>8</v>
      </c>
      <c r="EQ23" s="47" t="s">
        <v>8</v>
      </c>
      <c r="ER23" s="159">
        <f>SUM(ER9:ER22)</f>
        <v>5003026.6989870025</v>
      </c>
      <c r="ES23" s="44">
        <f>SUM(ES9:ES22)</f>
        <v>0</v>
      </c>
      <c r="ET23" s="83">
        <f>EN23-ES23</f>
        <v>0</v>
      </c>
      <c r="EU23" s="46">
        <f>(SUMIF(EV9:EV22,"&lt;1")+1)/(COUNTIFS(EV9:EV22,"&lt;1")+1)</f>
        <v>0.52517353336046713</v>
      </c>
      <c r="EV23" s="47" t="s">
        <v>8</v>
      </c>
      <c r="EW23" s="47" t="s">
        <v>8</v>
      </c>
      <c r="EX23" s="159">
        <f>SUM(EX9:EX22)</f>
        <v>5003026.6989870025</v>
      </c>
      <c r="EY23" s="44">
        <f>SUM(EY9:EY22)</f>
        <v>0</v>
      </c>
      <c r="EZ23" s="83">
        <f>ET23-EY23</f>
        <v>0</v>
      </c>
      <c r="FA23" s="46">
        <f>(SUMIF(FB9:FB22,"&lt;1")+1)/(COUNTIFS(FB9:FB22,"&lt;1")+1)</f>
        <v>0.52517353336046713</v>
      </c>
      <c r="FB23" s="47" t="s">
        <v>8</v>
      </c>
      <c r="FC23" s="47" t="s">
        <v>8</v>
      </c>
      <c r="FD23" s="159">
        <f>SUM(FD9:FD22)</f>
        <v>5003026.6989870025</v>
      </c>
      <c r="FE23" s="44">
        <f>SUM(FE9:FE22)</f>
        <v>0</v>
      </c>
      <c r="FF23" s="83">
        <f>EZ23-FE23</f>
        <v>0</v>
      </c>
      <c r="FG23" s="46">
        <f>(SUMIF(FH9:FH22,"&lt;1")+1)/(COUNTIFS(FH9:FH22,"&lt;1")+1)</f>
        <v>0.52517353336046713</v>
      </c>
      <c r="FH23" s="47" t="s">
        <v>8</v>
      </c>
      <c r="FI23" s="47" t="s">
        <v>8</v>
      </c>
      <c r="FJ23" s="159">
        <f>SUM(FJ9:FJ22)</f>
        <v>5003026.6989870025</v>
      </c>
      <c r="FK23" s="44">
        <f>SUM(FK9:FK22)</f>
        <v>0</v>
      </c>
      <c r="FL23" s="83">
        <f>FF23-FK23</f>
        <v>0</v>
      </c>
      <c r="FM23" s="46">
        <f>(SUMIF(FN9:FN22,"&lt;1")+1)/(COUNTIFS(FN9:FN22,"&lt;1")+1)</f>
        <v>0.52517353336046713</v>
      </c>
      <c r="FN23" s="47" t="s">
        <v>8</v>
      </c>
      <c r="FO23" s="47" t="s">
        <v>8</v>
      </c>
      <c r="FP23" s="159">
        <f>SUM(FP9:FP22)</f>
        <v>5003026.6989870025</v>
      </c>
      <c r="FQ23" s="44">
        <f>SUM(FQ9:FQ22)</f>
        <v>0</v>
      </c>
      <c r="FR23" s="83">
        <f>FL23-FQ23</f>
        <v>0</v>
      </c>
      <c r="FS23" s="46">
        <f>(SUMIF(FT9:FT22,"&lt;1")+1)/(COUNTIFS(FT9:FT22,"&lt;1")+1)</f>
        <v>0.52517353336046713</v>
      </c>
      <c r="FT23" s="47" t="s">
        <v>8</v>
      </c>
      <c r="FU23" s="47" t="s">
        <v>8</v>
      </c>
      <c r="FV23" s="159">
        <f>SUM(FV9:FV22)</f>
        <v>5003026.6989870025</v>
      </c>
      <c r="FW23" s="44">
        <f>SUM(FW9:FW22)</f>
        <v>0</v>
      </c>
      <c r="FX23" s="83">
        <f>FR23-FW23</f>
        <v>0</v>
      </c>
      <c r="FY23" s="46">
        <f>(SUMIF(FZ9:FZ22,"&lt;1")+1)/(COUNTIFS(FZ9:FZ22,"&lt;1")+1)</f>
        <v>0.52517353336046713</v>
      </c>
      <c r="FZ23" s="47" t="s">
        <v>8</v>
      </c>
      <c r="GA23" s="47" t="s">
        <v>8</v>
      </c>
      <c r="GB23" s="159">
        <f>SUM(GB9:GB22)</f>
        <v>5003026.6989870025</v>
      </c>
      <c r="GC23" s="44">
        <f>SUM(GC9:GC22)</f>
        <v>0</v>
      </c>
      <c r="GD23" s="83">
        <f>FX23-GC23</f>
        <v>0</v>
      </c>
      <c r="GE23" s="46">
        <f>(SUMIF(GF9:GF22,"&lt;1")+1)/(COUNTIFS(GF9:GF22,"&lt;1")+1)</f>
        <v>0.52517353336046713</v>
      </c>
      <c r="GF23" s="47" t="s">
        <v>8</v>
      </c>
      <c r="GG23" s="47" t="s">
        <v>8</v>
      </c>
      <c r="GH23" s="159">
        <f>SUM(GH9:GH22)</f>
        <v>5003026.6989870025</v>
      </c>
      <c r="GI23" s="44">
        <f>SUM(GI9:GI22)</f>
        <v>0</v>
      </c>
      <c r="GJ23" s="189">
        <f>SUM(GJ9:GJ22)</f>
        <v>19727800.199999999</v>
      </c>
      <c r="GK23" s="191">
        <f t="shared" si="144"/>
        <v>21919778</v>
      </c>
      <c r="GL23" s="218" t="s">
        <v>8</v>
      </c>
      <c r="GM23" s="231">
        <f>SUM(GM9:GM22)</f>
        <v>21919778.000000004</v>
      </c>
    </row>
  </sheetData>
  <protectedRanges>
    <protectedRange sqref="A9:A22" name="Диапазон3_1"/>
    <protectedRange sqref="A9:A22" name="Диапазон2_1"/>
  </protectedRanges>
  <mergeCells count="49">
    <mergeCell ref="R4:W4"/>
    <mergeCell ref="GM3:GM5"/>
    <mergeCell ref="EH4:EM4"/>
    <mergeCell ref="CR4:CW4"/>
    <mergeCell ref="FX4:GC4"/>
    <mergeCell ref="GD4:GI4"/>
    <mergeCell ref="FF4:FK4"/>
    <mergeCell ref="FL4:FQ4"/>
    <mergeCell ref="FR4:FW4"/>
    <mergeCell ref="GK3:GK5"/>
    <mergeCell ref="GL3:GL5"/>
    <mergeCell ref="GJ3:GJ5"/>
    <mergeCell ref="CX4:DC4"/>
    <mergeCell ref="EZ4:FE4"/>
    <mergeCell ref="DD4:DI4"/>
    <mergeCell ref="AJ4:AO4"/>
    <mergeCell ref="BH4:BM4"/>
    <mergeCell ref="X4:AC4"/>
    <mergeCell ref="AD4:AI4"/>
    <mergeCell ref="AP4:AU4"/>
    <mergeCell ref="BB4:BG4"/>
    <mergeCell ref="AV4:BA4"/>
    <mergeCell ref="EN4:ES4"/>
    <mergeCell ref="ET4:EY4"/>
    <mergeCell ref="BN4:BS4"/>
    <mergeCell ref="BT4:BY4"/>
    <mergeCell ref="BZ4:CE4"/>
    <mergeCell ref="CF4:CK4"/>
    <mergeCell ref="CL4:CQ4"/>
    <mergeCell ref="DJ4:DO4"/>
    <mergeCell ref="DP4:DU4"/>
    <mergeCell ref="DV4:EA4"/>
    <mergeCell ref="EB4:EG4"/>
    <mergeCell ref="L4:L5"/>
    <mergeCell ref="M4:Q4"/>
    <mergeCell ref="A3:A6"/>
    <mergeCell ref="B3:B5"/>
    <mergeCell ref="C3:F3"/>
    <mergeCell ref="G3:J3"/>
    <mergeCell ref="K3:K5"/>
    <mergeCell ref="J4:J5"/>
    <mergeCell ref="C4:D4"/>
    <mergeCell ref="E4:F4"/>
    <mergeCell ref="G4:G5"/>
    <mergeCell ref="H4:H5"/>
    <mergeCell ref="I4:I5"/>
    <mergeCell ref="C5:D5"/>
    <mergeCell ref="E5:F5"/>
    <mergeCell ref="M3:BS3"/>
  </mergeCells>
  <pageMargins left="0.70866141732283472" right="0.70866141732283472" top="0.74803149606299213" bottom="0.74803149606299213" header="0.31496062992125984" footer="0.31496062992125984"/>
  <pageSetup paperSize="9" scale="63" fitToWidth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Исходные данные</vt:lpstr>
      <vt:lpstr>Расчет КРП</vt:lpstr>
      <vt:lpstr>Расчет дотации 2025</vt:lpstr>
      <vt:lpstr>Расчет дотации 2026</vt:lpstr>
      <vt:lpstr>Расчет дотации 2027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 2025'!Z_287B6B75_F102_4A35_99B4_72102AA4A344__wvu_PrintTitles</vt:lpstr>
      <vt:lpstr>'Исходные данные'!Заголовки_для_печати</vt:lpstr>
      <vt:lpstr>'Расчет дотации 2025'!Заголовки_для_печати</vt:lpstr>
      <vt:lpstr>'Исходные данные'!Область_печати</vt:lpstr>
      <vt:lpstr>'Расчет КРП'!Область_печати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admin</cp:lastModifiedBy>
  <cp:lastPrinted>2024-11-01T05:38:37Z</cp:lastPrinted>
  <dcterms:created xsi:type="dcterms:W3CDTF">2013-11-15T09:40:24Z</dcterms:created>
  <dcterms:modified xsi:type="dcterms:W3CDTF">2024-11-01T05:39:33Z</dcterms:modified>
</cp:coreProperties>
</file>